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39AFD44C-63F1-419C-B383-DFB6587757DF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2" i="1" l="1"/>
  <c r="AV153" i="1" s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B6" i="2"/>
  <c r="B5" i="2"/>
  <c r="AV152" i="1" l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S151" i="1" l="1"/>
  <c r="AE151" i="1" s="1"/>
  <c r="R151" i="1"/>
  <c r="AD151" i="1" s="1"/>
  <c r="S150" i="1"/>
  <c r="AE150" i="1" s="1"/>
  <c r="R150" i="1"/>
  <c r="AD150" i="1" s="1"/>
  <c r="S149" i="1"/>
  <c r="AE149" i="1" s="1"/>
  <c r="R149" i="1"/>
  <c r="AD149" i="1" s="1"/>
  <c r="S148" i="1"/>
  <c r="AE148" i="1" s="1"/>
  <c r="R148" i="1"/>
  <c r="S147" i="1"/>
  <c r="AE147" i="1" s="1"/>
  <c r="R147" i="1"/>
  <c r="AD147" i="1" s="1"/>
  <c r="S146" i="1"/>
  <c r="AE146" i="1" s="1"/>
  <c r="R146" i="1"/>
  <c r="AD146" i="1" s="1"/>
  <c r="S145" i="1"/>
  <c r="AE145" i="1" s="1"/>
  <c r="R145" i="1"/>
  <c r="AD145" i="1" s="1"/>
  <c r="S144" i="1"/>
  <c r="AE144" i="1" s="1"/>
  <c r="R144" i="1"/>
  <c r="AD144" i="1" s="1"/>
  <c r="S143" i="1"/>
  <c r="AE143" i="1" s="1"/>
  <c r="R143" i="1"/>
  <c r="AD143" i="1" s="1"/>
  <c r="S142" i="1"/>
  <c r="AE142" i="1" s="1"/>
  <c r="R142" i="1"/>
  <c r="AD142" i="1" s="1"/>
  <c r="S141" i="1"/>
  <c r="AE141" i="1" s="1"/>
  <c r="R141" i="1"/>
  <c r="AD141" i="1" s="1"/>
  <c r="S140" i="1"/>
  <c r="AE140" i="1" s="1"/>
  <c r="R140" i="1"/>
  <c r="S139" i="1"/>
  <c r="AE139" i="1" s="1"/>
  <c r="R139" i="1"/>
  <c r="AD139" i="1" s="1"/>
  <c r="S138" i="1"/>
  <c r="AE138" i="1" s="1"/>
  <c r="R138" i="1"/>
  <c r="AD138" i="1" s="1"/>
  <c r="S137" i="1"/>
  <c r="AE137" i="1" s="1"/>
  <c r="R137" i="1"/>
  <c r="AD137" i="1" s="1"/>
  <c r="S136" i="1"/>
  <c r="AE136" i="1" s="1"/>
  <c r="R136" i="1"/>
  <c r="AD136" i="1" s="1"/>
  <c r="S135" i="1"/>
  <c r="AE135" i="1" s="1"/>
  <c r="R135" i="1"/>
  <c r="AD135" i="1" s="1"/>
  <c r="S134" i="1"/>
  <c r="AE134" i="1" s="1"/>
  <c r="R134" i="1"/>
  <c r="AD134" i="1" s="1"/>
  <c r="S133" i="1"/>
  <c r="AE133" i="1" s="1"/>
  <c r="R133" i="1"/>
  <c r="AD133" i="1" s="1"/>
  <c r="S132" i="1"/>
  <c r="AE132" i="1" s="1"/>
  <c r="R132" i="1"/>
  <c r="S131" i="1"/>
  <c r="AE131" i="1" s="1"/>
  <c r="R131" i="1"/>
  <c r="AD131" i="1" s="1"/>
  <c r="S130" i="1"/>
  <c r="AE130" i="1" s="1"/>
  <c r="R130" i="1"/>
  <c r="AD130" i="1" s="1"/>
  <c r="S129" i="1"/>
  <c r="AE129" i="1" s="1"/>
  <c r="R129" i="1"/>
  <c r="AD129" i="1" s="1"/>
  <c r="S128" i="1"/>
  <c r="AE128" i="1" s="1"/>
  <c r="R128" i="1"/>
  <c r="AD128" i="1" s="1"/>
  <c r="S127" i="1"/>
  <c r="AE127" i="1" s="1"/>
  <c r="R127" i="1"/>
  <c r="AD127" i="1" s="1"/>
  <c r="S126" i="1"/>
  <c r="AE126" i="1" s="1"/>
  <c r="R126" i="1"/>
  <c r="AD126" i="1" s="1"/>
  <c r="S125" i="1"/>
  <c r="AE125" i="1" s="1"/>
  <c r="R125" i="1"/>
  <c r="AD125" i="1" s="1"/>
  <c r="S124" i="1"/>
  <c r="AE124" i="1" s="1"/>
  <c r="R124" i="1"/>
  <c r="S123" i="1"/>
  <c r="AE123" i="1" s="1"/>
  <c r="R123" i="1"/>
  <c r="AD123" i="1" s="1"/>
  <c r="S122" i="1"/>
  <c r="AE122" i="1" s="1"/>
  <c r="R122" i="1"/>
  <c r="AD122" i="1" s="1"/>
  <c r="S121" i="1"/>
  <c r="AE121" i="1" s="1"/>
  <c r="R121" i="1"/>
  <c r="AD121" i="1" s="1"/>
  <c r="S120" i="1"/>
  <c r="AE120" i="1" s="1"/>
  <c r="R120" i="1"/>
  <c r="AD120" i="1" s="1"/>
  <c r="S119" i="1"/>
  <c r="AE119" i="1" s="1"/>
  <c r="R119" i="1"/>
  <c r="AD119" i="1" s="1"/>
  <c r="S118" i="1"/>
  <c r="AE118" i="1" s="1"/>
  <c r="R118" i="1"/>
  <c r="AD118" i="1" s="1"/>
  <c r="S117" i="1"/>
  <c r="AE117" i="1" s="1"/>
  <c r="R117" i="1"/>
  <c r="AD117" i="1" s="1"/>
  <c r="S116" i="1"/>
  <c r="AE116" i="1" s="1"/>
  <c r="R116" i="1"/>
  <c r="S115" i="1"/>
  <c r="AE115" i="1" s="1"/>
  <c r="R115" i="1"/>
  <c r="AD115" i="1" s="1"/>
  <c r="S114" i="1"/>
  <c r="AE114" i="1" s="1"/>
  <c r="R114" i="1"/>
  <c r="AD114" i="1" s="1"/>
  <c r="S113" i="1"/>
  <c r="AE113" i="1" s="1"/>
  <c r="R113" i="1"/>
  <c r="AD113" i="1" s="1"/>
  <c r="S112" i="1"/>
  <c r="AE112" i="1" s="1"/>
  <c r="R112" i="1"/>
  <c r="AD112" i="1" s="1"/>
  <c r="S111" i="1"/>
  <c r="AE111" i="1" s="1"/>
  <c r="R111" i="1"/>
  <c r="AD111" i="1" s="1"/>
  <c r="S110" i="1"/>
  <c r="AE110" i="1" s="1"/>
  <c r="R110" i="1"/>
  <c r="AD110" i="1" s="1"/>
  <c r="S109" i="1"/>
  <c r="AE109" i="1" s="1"/>
  <c r="R109" i="1"/>
  <c r="AD109" i="1" s="1"/>
  <c r="S108" i="1"/>
  <c r="AE108" i="1" s="1"/>
  <c r="R108" i="1"/>
  <c r="S107" i="1"/>
  <c r="AE107" i="1" s="1"/>
  <c r="R107" i="1"/>
  <c r="AD107" i="1" s="1"/>
  <c r="S106" i="1"/>
  <c r="AE106" i="1" s="1"/>
  <c r="R106" i="1"/>
  <c r="AD106" i="1" s="1"/>
  <c r="S105" i="1"/>
  <c r="AE105" i="1" s="1"/>
  <c r="R105" i="1"/>
  <c r="AD105" i="1" s="1"/>
  <c r="S104" i="1"/>
  <c r="AE104" i="1" s="1"/>
  <c r="R104" i="1"/>
  <c r="AD104" i="1" s="1"/>
  <c r="S103" i="1"/>
  <c r="AE103" i="1" s="1"/>
  <c r="R103" i="1"/>
  <c r="AD103" i="1" s="1"/>
  <c r="S102" i="1"/>
  <c r="AE102" i="1" s="1"/>
  <c r="R102" i="1"/>
  <c r="AD102" i="1" s="1"/>
  <c r="S101" i="1"/>
  <c r="AE101" i="1" s="1"/>
  <c r="R101" i="1"/>
  <c r="AD101" i="1" s="1"/>
  <c r="S100" i="1"/>
  <c r="AE100" i="1" s="1"/>
  <c r="R100" i="1"/>
  <c r="S99" i="1"/>
  <c r="AE99" i="1" s="1"/>
  <c r="R99" i="1"/>
  <c r="AD99" i="1" s="1"/>
  <c r="S98" i="1"/>
  <c r="AE98" i="1" s="1"/>
  <c r="R98" i="1"/>
  <c r="AD98" i="1" s="1"/>
  <c r="S97" i="1"/>
  <c r="AE97" i="1" s="1"/>
  <c r="R97" i="1"/>
  <c r="AD97" i="1" s="1"/>
  <c r="S96" i="1"/>
  <c r="AE96" i="1" s="1"/>
  <c r="R96" i="1"/>
  <c r="AD96" i="1" s="1"/>
  <c r="S95" i="1"/>
  <c r="AE95" i="1" s="1"/>
  <c r="R95" i="1"/>
  <c r="AD95" i="1" s="1"/>
  <c r="S94" i="1"/>
  <c r="AE94" i="1" s="1"/>
  <c r="R94" i="1"/>
  <c r="AD94" i="1" s="1"/>
  <c r="S93" i="1"/>
  <c r="AE93" i="1" s="1"/>
  <c r="R93" i="1"/>
  <c r="AD93" i="1" s="1"/>
  <c r="S92" i="1"/>
  <c r="AE92" i="1" s="1"/>
  <c r="R92" i="1"/>
  <c r="S91" i="1"/>
  <c r="AE91" i="1" s="1"/>
  <c r="R91" i="1"/>
  <c r="AD91" i="1" s="1"/>
  <c r="S90" i="1"/>
  <c r="AE90" i="1" s="1"/>
  <c r="R90" i="1"/>
  <c r="AD90" i="1" s="1"/>
  <c r="S89" i="1"/>
  <c r="AE89" i="1" s="1"/>
  <c r="R89" i="1"/>
  <c r="AD89" i="1" s="1"/>
  <c r="S88" i="1"/>
  <c r="AE88" i="1" s="1"/>
  <c r="R88" i="1"/>
  <c r="AD88" i="1" s="1"/>
  <c r="S87" i="1"/>
  <c r="AE87" i="1" s="1"/>
  <c r="R87" i="1"/>
  <c r="AD87" i="1" s="1"/>
  <c r="S86" i="1"/>
  <c r="AE86" i="1" s="1"/>
  <c r="R86" i="1"/>
  <c r="AD86" i="1" s="1"/>
  <c r="S85" i="1"/>
  <c r="AE85" i="1" s="1"/>
  <c r="R85" i="1"/>
  <c r="AD85" i="1" s="1"/>
  <c r="S84" i="1"/>
  <c r="AE84" i="1" s="1"/>
  <c r="R84" i="1"/>
  <c r="S83" i="1"/>
  <c r="AE83" i="1" s="1"/>
  <c r="R83" i="1"/>
  <c r="AD83" i="1" s="1"/>
  <c r="S82" i="1"/>
  <c r="AE82" i="1" s="1"/>
  <c r="R82" i="1"/>
  <c r="AD82" i="1" s="1"/>
  <c r="S81" i="1"/>
  <c r="AE81" i="1" s="1"/>
  <c r="R81" i="1"/>
  <c r="AD81" i="1" s="1"/>
  <c r="S80" i="1"/>
  <c r="AE80" i="1" s="1"/>
  <c r="R80" i="1"/>
  <c r="AD80" i="1" s="1"/>
  <c r="S79" i="1"/>
  <c r="AE79" i="1" s="1"/>
  <c r="R79" i="1"/>
  <c r="AD79" i="1" s="1"/>
  <c r="S78" i="1"/>
  <c r="AE78" i="1" s="1"/>
  <c r="R78" i="1"/>
  <c r="AD78" i="1" s="1"/>
  <c r="S77" i="1"/>
  <c r="AE77" i="1" s="1"/>
  <c r="R77" i="1"/>
  <c r="AD77" i="1" s="1"/>
  <c r="S76" i="1"/>
  <c r="AE76" i="1" s="1"/>
  <c r="R76" i="1"/>
  <c r="S75" i="1"/>
  <c r="AE75" i="1" s="1"/>
  <c r="R75" i="1"/>
  <c r="AD75" i="1" s="1"/>
  <c r="S74" i="1"/>
  <c r="AE74" i="1" s="1"/>
  <c r="R74" i="1"/>
  <c r="AD74" i="1" s="1"/>
  <c r="S73" i="1"/>
  <c r="AE73" i="1" s="1"/>
  <c r="R73" i="1"/>
  <c r="AD73" i="1" s="1"/>
  <c r="S72" i="1"/>
  <c r="AE72" i="1" s="1"/>
  <c r="R72" i="1"/>
  <c r="AD72" i="1" s="1"/>
  <c r="S71" i="1"/>
  <c r="AE71" i="1" s="1"/>
  <c r="R71" i="1"/>
  <c r="AD71" i="1" s="1"/>
  <c r="S70" i="1"/>
  <c r="AE70" i="1" s="1"/>
  <c r="R70" i="1"/>
  <c r="AD70" i="1" s="1"/>
  <c r="S69" i="1"/>
  <c r="AE69" i="1" s="1"/>
  <c r="R69" i="1"/>
  <c r="AD69" i="1" s="1"/>
  <c r="S68" i="1"/>
  <c r="AE68" i="1" s="1"/>
  <c r="R68" i="1"/>
  <c r="S67" i="1"/>
  <c r="AE67" i="1" s="1"/>
  <c r="R67" i="1"/>
  <c r="AD67" i="1" s="1"/>
  <c r="S66" i="1"/>
  <c r="AE66" i="1" s="1"/>
  <c r="R66" i="1"/>
  <c r="AD66" i="1" s="1"/>
  <c r="S65" i="1"/>
  <c r="AE65" i="1" s="1"/>
  <c r="R65" i="1"/>
  <c r="AD65" i="1" s="1"/>
  <c r="S64" i="1"/>
  <c r="AE64" i="1" s="1"/>
  <c r="R64" i="1"/>
  <c r="AD64" i="1" s="1"/>
  <c r="S63" i="1"/>
  <c r="AE63" i="1" s="1"/>
  <c r="R63" i="1"/>
  <c r="AD63" i="1" s="1"/>
  <c r="S62" i="1"/>
  <c r="AE62" i="1" s="1"/>
  <c r="R62" i="1"/>
  <c r="AD62" i="1" s="1"/>
  <c r="S61" i="1"/>
  <c r="AE61" i="1" s="1"/>
  <c r="R61" i="1"/>
  <c r="AD61" i="1" s="1"/>
  <c r="S60" i="1"/>
  <c r="AE60" i="1" s="1"/>
  <c r="R60" i="1"/>
  <c r="S59" i="1"/>
  <c r="AE59" i="1" s="1"/>
  <c r="R59" i="1"/>
  <c r="AD59" i="1" s="1"/>
  <c r="S58" i="1"/>
  <c r="AE58" i="1" s="1"/>
  <c r="R58" i="1"/>
  <c r="AD58" i="1" s="1"/>
  <c r="S57" i="1"/>
  <c r="AE57" i="1" s="1"/>
  <c r="R57" i="1"/>
  <c r="AD57" i="1" s="1"/>
  <c r="S56" i="1"/>
  <c r="AE56" i="1" s="1"/>
  <c r="R56" i="1"/>
  <c r="AD56" i="1" s="1"/>
  <c r="S55" i="1"/>
  <c r="AE55" i="1" s="1"/>
  <c r="R55" i="1"/>
  <c r="AD55" i="1" s="1"/>
  <c r="S54" i="1"/>
  <c r="AE54" i="1" s="1"/>
  <c r="R54" i="1"/>
  <c r="AD54" i="1" s="1"/>
  <c r="S53" i="1"/>
  <c r="AE53" i="1" s="1"/>
  <c r="R53" i="1"/>
  <c r="AD53" i="1" s="1"/>
  <c r="S52" i="1"/>
  <c r="AE52" i="1" s="1"/>
  <c r="R52" i="1"/>
  <c r="S51" i="1"/>
  <c r="AE51" i="1" s="1"/>
  <c r="R51" i="1"/>
  <c r="AD51" i="1" s="1"/>
  <c r="S50" i="1"/>
  <c r="AE50" i="1" s="1"/>
  <c r="R50" i="1"/>
  <c r="AD50" i="1" s="1"/>
  <c r="S49" i="1"/>
  <c r="AE49" i="1" s="1"/>
  <c r="R49" i="1"/>
  <c r="AD49" i="1" s="1"/>
  <c r="S48" i="1"/>
  <c r="AE48" i="1" s="1"/>
  <c r="R48" i="1"/>
  <c r="AD48" i="1" s="1"/>
  <c r="S47" i="1"/>
  <c r="AE47" i="1" s="1"/>
  <c r="R47" i="1"/>
  <c r="AD47" i="1" s="1"/>
  <c r="S46" i="1"/>
  <c r="AE46" i="1" s="1"/>
  <c r="R46" i="1"/>
  <c r="AD46" i="1" s="1"/>
  <c r="S45" i="1"/>
  <c r="AE45" i="1" s="1"/>
  <c r="R45" i="1"/>
  <c r="AD45" i="1" s="1"/>
  <c r="S44" i="1"/>
  <c r="AE44" i="1" s="1"/>
  <c r="R44" i="1"/>
  <c r="AD44" i="1" s="1"/>
  <c r="S43" i="1"/>
  <c r="AE43" i="1" s="1"/>
  <c r="R43" i="1"/>
  <c r="AD43" i="1" s="1"/>
  <c r="S42" i="1"/>
  <c r="AE42" i="1" s="1"/>
  <c r="R42" i="1"/>
  <c r="AD42" i="1" s="1"/>
  <c r="S41" i="1"/>
  <c r="AE41" i="1" s="1"/>
  <c r="R41" i="1"/>
  <c r="AD41" i="1" s="1"/>
  <c r="S40" i="1"/>
  <c r="AE40" i="1" s="1"/>
  <c r="R40" i="1"/>
  <c r="AD40" i="1" s="1"/>
  <c r="S39" i="1"/>
  <c r="AE39" i="1" s="1"/>
  <c r="R39" i="1"/>
  <c r="AD39" i="1" s="1"/>
  <c r="S38" i="1"/>
  <c r="AE38" i="1" s="1"/>
  <c r="R38" i="1"/>
  <c r="AD38" i="1" s="1"/>
  <c r="S37" i="1"/>
  <c r="AE37" i="1" s="1"/>
  <c r="R37" i="1"/>
  <c r="AD37" i="1" s="1"/>
  <c r="S36" i="1"/>
  <c r="AE36" i="1" s="1"/>
  <c r="R36" i="1"/>
  <c r="AD36" i="1" s="1"/>
  <c r="S35" i="1"/>
  <c r="AE35" i="1" s="1"/>
  <c r="R35" i="1"/>
  <c r="AD35" i="1" s="1"/>
  <c r="S34" i="1"/>
  <c r="AE34" i="1" s="1"/>
  <c r="R34" i="1"/>
  <c r="AD34" i="1" s="1"/>
  <c r="S33" i="1"/>
  <c r="AE33" i="1" s="1"/>
  <c r="R33" i="1"/>
  <c r="AD33" i="1" s="1"/>
  <c r="S32" i="1"/>
  <c r="AE32" i="1" s="1"/>
  <c r="R32" i="1"/>
  <c r="AD32" i="1" s="1"/>
  <c r="S31" i="1"/>
  <c r="AE31" i="1" s="1"/>
  <c r="R31" i="1"/>
  <c r="AD31" i="1" s="1"/>
  <c r="S30" i="1"/>
  <c r="AE30" i="1" s="1"/>
  <c r="R30" i="1"/>
  <c r="AD30" i="1" s="1"/>
  <c r="S29" i="1"/>
  <c r="AE29" i="1" s="1"/>
  <c r="R29" i="1"/>
  <c r="AD29" i="1" s="1"/>
  <c r="S28" i="1"/>
  <c r="AE28" i="1" s="1"/>
  <c r="R28" i="1"/>
  <c r="AD28" i="1" s="1"/>
  <c r="S27" i="1"/>
  <c r="AE27" i="1" s="1"/>
  <c r="R27" i="1"/>
  <c r="AD27" i="1" s="1"/>
  <c r="S26" i="1"/>
  <c r="AE26" i="1" s="1"/>
  <c r="R26" i="1"/>
  <c r="AD26" i="1" s="1"/>
  <c r="S25" i="1"/>
  <c r="AE25" i="1" s="1"/>
  <c r="R25" i="1"/>
  <c r="AD25" i="1" s="1"/>
  <c r="S24" i="1"/>
  <c r="AE24" i="1" s="1"/>
  <c r="R24" i="1"/>
  <c r="AD24" i="1" s="1"/>
  <c r="S23" i="1"/>
  <c r="AE23" i="1" s="1"/>
  <c r="R23" i="1"/>
  <c r="AD23" i="1" s="1"/>
  <c r="S22" i="1"/>
  <c r="AE22" i="1" s="1"/>
  <c r="R22" i="1"/>
  <c r="AD22" i="1" s="1"/>
  <c r="S21" i="1"/>
  <c r="AE21" i="1" s="1"/>
  <c r="R21" i="1"/>
  <c r="AD21" i="1" s="1"/>
  <c r="S20" i="1"/>
  <c r="AE20" i="1" s="1"/>
  <c r="R20" i="1"/>
  <c r="AD20" i="1" s="1"/>
  <c r="S19" i="1"/>
  <c r="AE19" i="1" s="1"/>
  <c r="R19" i="1"/>
  <c r="AD19" i="1" s="1"/>
  <c r="S18" i="1"/>
  <c r="AE18" i="1" s="1"/>
  <c r="R18" i="1"/>
  <c r="AD18" i="1" s="1"/>
  <c r="S17" i="1"/>
  <c r="AE17" i="1" s="1"/>
  <c r="R17" i="1"/>
  <c r="AD17" i="1" s="1"/>
  <c r="S16" i="1"/>
  <c r="AE16" i="1" s="1"/>
  <c r="R16" i="1"/>
  <c r="AD16" i="1" s="1"/>
  <c r="S15" i="1"/>
  <c r="AE15" i="1" s="1"/>
  <c r="R15" i="1"/>
  <c r="AD15" i="1" s="1"/>
  <c r="S14" i="1"/>
  <c r="AE14" i="1" s="1"/>
  <c r="R14" i="1"/>
  <c r="AD14" i="1" s="1"/>
  <c r="S13" i="1"/>
  <c r="AE13" i="1" s="1"/>
  <c r="R13" i="1"/>
  <c r="AD13" i="1" s="1"/>
  <c r="S12" i="1"/>
  <c r="AE12" i="1" s="1"/>
  <c r="R12" i="1"/>
  <c r="AD12" i="1" s="1"/>
  <c r="S11" i="1"/>
  <c r="AE11" i="1" s="1"/>
  <c r="R11" i="1"/>
  <c r="AD11" i="1" s="1"/>
  <c r="S10" i="1"/>
  <c r="AE10" i="1" s="1"/>
  <c r="R10" i="1"/>
  <c r="AD10" i="1" s="1"/>
  <c r="S9" i="1"/>
  <c r="AE9" i="1" s="1"/>
  <c r="R9" i="1"/>
  <c r="AD9" i="1" s="1"/>
  <c r="S8" i="1"/>
  <c r="AE8" i="1" s="1"/>
  <c r="R8" i="1"/>
  <c r="AD8" i="1" s="1"/>
  <c r="S7" i="1"/>
  <c r="AE7" i="1" s="1"/>
  <c r="R7" i="1"/>
  <c r="AD7" i="1" s="1"/>
  <c r="S6" i="1"/>
  <c r="AE6" i="1" s="1"/>
  <c r="R6" i="1"/>
  <c r="AD6" i="1" s="1"/>
  <c r="S5" i="1"/>
  <c r="AE5" i="1" s="1"/>
  <c r="R5" i="1"/>
  <c r="AD5" i="1" s="1"/>
  <c r="S4" i="1"/>
  <c r="AE4" i="1" s="1"/>
  <c r="R4" i="1"/>
  <c r="AD4" i="1" s="1"/>
  <c r="S3" i="1"/>
  <c r="AE3" i="1" s="1"/>
  <c r="R3" i="1"/>
  <c r="AD3" i="1" s="1"/>
  <c r="S2" i="1"/>
  <c r="AE2" i="1" s="1"/>
  <c r="R2" i="1"/>
  <c r="AD2" i="1" s="1"/>
  <c r="Q151" i="1"/>
  <c r="P151" i="1"/>
  <c r="Y151" i="1" s="1"/>
  <c r="Q150" i="1"/>
  <c r="P150" i="1"/>
  <c r="Y150" i="1" s="1"/>
  <c r="Q149" i="1"/>
  <c r="P149" i="1"/>
  <c r="Y149" i="1" s="1"/>
  <c r="Q148" i="1"/>
  <c r="P148" i="1"/>
  <c r="Y148" i="1" s="1"/>
  <c r="Q147" i="1"/>
  <c r="P147" i="1"/>
  <c r="Y147" i="1" s="1"/>
  <c r="Q146" i="1"/>
  <c r="P146" i="1"/>
  <c r="Y146" i="1" s="1"/>
  <c r="Q145" i="1"/>
  <c r="P145" i="1"/>
  <c r="Y145" i="1" s="1"/>
  <c r="Q144" i="1"/>
  <c r="P144" i="1"/>
  <c r="Y144" i="1" s="1"/>
  <c r="Q143" i="1"/>
  <c r="P143" i="1"/>
  <c r="Y143" i="1" s="1"/>
  <c r="Q142" i="1"/>
  <c r="P142" i="1"/>
  <c r="Y142" i="1" s="1"/>
  <c r="Q141" i="1"/>
  <c r="P141" i="1"/>
  <c r="Y141" i="1" s="1"/>
  <c r="Q140" i="1"/>
  <c r="P140" i="1"/>
  <c r="Y140" i="1" s="1"/>
  <c r="Q139" i="1"/>
  <c r="P139" i="1"/>
  <c r="Y139" i="1" s="1"/>
  <c r="Q138" i="1"/>
  <c r="P138" i="1"/>
  <c r="Y138" i="1" s="1"/>
  <c r="Q137" i="1"/>
  <c r="P137" i="1"/>
  <c r="Y137" i="1" s="1"/>
  <c r="Q136" i="1"/>
  <c r="P136" i="1"/>
  <c r="Y136" i="1" s="1"/>
  <c r="Q135" i="1"/>
  <c r="P135" i="1"/>
  <c r="Y135" i="1" s="1"/>
  <c r="Q134" i="1"/>
  <c r="P134" i="1"/>
  <c r="Y134" i="1" s="1"/>
  <c r="Q133" i="1"/>
  <c r="P133" i="1"/>
  <c r="Y133" i="1" s="1"/>
  <c r="Q132" i="1"/>
  <c r="P132" i="1"/>
  <c r="Y132" i="1" s="1"/>
  <c r="Q131" i="1"/>
  <c r="P131" i="1"/>
  <c r="Y131" i="1" s="1"/>
  <c r="Q130" i="1"/>
  <c r="P130" i="1"/>
  <c r="Y130" i="1" s="1"/>
  <c r="Q129" i="1"/>
  <c r="P129" i="1"/>
  <c r="Y129" i="1" s="1"/>
  <c r="Q128" i="1"/>
  <c r="P128" i="1"/>
  <c r="Y128" i="1" s="1"/>
  <c r="Q127" i="1"/>
  <c r="P127" i="1"/>
  <c r="Y127" i="1" s="1"/>
  <c r="Q126" i="1"/>
  <c r="P126" i="1"/>
  <c r="Y126" i="1" s="1"/>
  <c r="Q125" i="1"/>
  <c r="P125" i="1"/>
  <c r="Y125" i="1" s="1"/>
  <c r="Q124" i="1"/>
  <c r="P124" i="1"/>
  <c r="Y124" i="1" s="1"/>
  <c r="Q123" i="1"/>
  <c r="P123" i="1"/>
  <c r="Y123" i="1" s="1"/>
  <c r="Q122" i="1"/>
  <c r="P122" i="1"/>
  <c r="Y122" i="1" s="1"/>
  <c r="Q121" i="1"/>
  <c r="P121" i="1"/>
  <c r="Y121" i="1" s="1"/>
  <c r="Q120" i="1"/>
  <c r="P120" i="1"/>
  <c r="Y120" i="1" s="1"/>
  <c r="Q119" i="1"/>
  <c r="P119" i="1"/>
  <c r="Y119" i="1" s="1"/>
  <c r="Q118" i="1"/>
  <c r="P118" i="1"/>
  <c r="Y118" i="1" s="1"/>
  <c r="Q117" i="1"/>
  <c r="P117" i="1"/>
  <c r="Y117" i="1" s="1"/>
  <c r="Q116" i="1"/>
  <c r="P116" i="1"/>
  <c r="Y116" i="1" s="1"/>
  <c r="Q115" i="1"/>
  <c r="P115" i="1"/>
  <c r="Y115" i="1" s="1"/>
  <c r="Q114" i="1"/>
  <c r="P114" i="1"/>
  <c r="Y114" i="1" s="1"/>
  <c r="Q113" i="1"/>
  <c r="P113" i="1"/>
  <c r="Y113" i="1" s="1"/>
  <c r="Q112" i="1"/>
  <c r="P112" i="1"/>
  <c r="Y112" i="1" s="1"/>
  <c r="Q111" i="1"/>
  <c r="P111" i="1"/>
  <c r="Y111" i="1" s="1"/>
  <c r="Q110" i="1"/>
  <c r="P110" i="1"/>
  <c r="Y110" i="1" s="1"/>
  <c r="Q109" i="1"/>
  <c r="P109" i="1"/>
  <c r="Y109" i="1" s="1"/>
  <c r="Q108" i="1"/>
  <c r="P108" i="1"/>
  <c r="Y108" i="1" s="1"/>
  <c r="Q107" i="1"/>
  <c r="P107" i="1"/>
  <c r="Y107" i="1" s="1"/>
  <c r="Q106" i="1"/>
  <c r="P106" i="1"/>
  <c r="Y106" i="1" s="1"/>
  <c r="Q105" i="1"/>
  <c r="P105" i="1"/>
  <c r="Y105" i="1" s="1"/>
  <c r="Q104" i="1"/>
  <c r="P104" i="1"/>
  <c r="Y104" i="1" s="1"/>
  <c r="Q103" i="1"/>
  <c r="P103" i="1"/>
  <c r="Y103" i="1" s="1"/>
  <c r="Q102" i="1"/>
  <c r="P102" i="1"/>
  <c r="Y102" i="1" s="1"/>
  <c r="Q101" i="1"/>
  <c r="P101" i="1"/>
  <c r="Y101" i="1" s="1"/>
  <c r="Q100" i="1"/>
  <c r="P100" i="1"/>
  <c r="Y100" i="1" s="1"/>
  <c r="Q99" i="1"/>
  <c r="P99" i="1"/>
  <c r="Y99" i="1" s="1"/>
  <c r="Q98" i="1"/>
  <c r="P98" i="1"/>
  <c r="Y98" i="1" s="1"/>
  <c r="Q97" i="1"/>
  <c r="P97" i="1"/>
  <c r="Y97" i="1" s="1"/>
  <c r="Q96" i="1"/>
  <c r="P96" i="1"/>
  <c r="Y96" i="1" s="1"/>
  <c r="Q95" i="1"/>
  <c r="P95" i="1"/>
  <c r="Y95" i="1" s="1"/>
  <c r="Q94" i="1"/>
  <c r="P94" i="1"/>
  <c r="Y94" i="1" s="1"/>
  <c r="Q93" i="1"/>
  <c r="P93" i="1"/>
  <c r="Y93" i="1" s="1"/>
  <c r="Q92" i="1"/>
  <c r="P92" i="1"/>
  <c r="Y92" i="1" s="1"/>
  <c r="Q91" i="1"/>
  <c r="P91" i="1"/>
  <c r="Y91" i="1" s="1"/>
  <c r="Q90" i="1"/>
  <c r="P90" i="1"/>
  <c r="Y90" i="1" s="1"/>
  <c r="Q89" i="1"/>
  <c r="P89" i="1"/>
  <c r="Y89" i="1" s="1"/>
  <c r="Q88" i="1"/>
  <c r="P88" i="1"/>
  <c r="Y88" i="1" s="1"/>
  <c r="Q87" i="1"/>
  <c r="P87" i="1"/>
  <c r="Y87" i="1" s="1"/>
  <c r="Q86" i="1"/>
  <c r="P86" i="1"/>
  <c r="Y86" i="1" s="1"/>
  <c r="Q85" i="1"/>
  <c r="P85" i="1"/>
  <c r="Y85" i="1" s="1"/>
  <c r="Q84" i="1"/>
  <c r="P84" i="1"/>
  <c r="Y84" i="1" s="1"/>
  <c r="Q83" i="1"/>
  <c r="P83" i="1"/>
  <c r="Y83" i="1" s="1"/>
  <c r="Q82" i="1"/>
  <c r="P82" i="1"/>
  <c r="Y82" i="1" s="1"/>
  <c r="Q81" i="1"/>
  <c r="P81" i="1"/>
  <c r="Y81" i="1" s="1"/>
  <c r="Q80" i="1"/>
  <c r="P80" i="1"/>
  <c r="Y80" i="1" s="1"/>
  <c r="Q79" i="1"/>
  <c r="P79" i="1"/>
  <c r="Y79" i="1" s="1"/>
  <c r="Q78" i="1"/>
  <c r="P78" i="1"/>
  <c r="Y78" i="1" s="1"/>
  <c r="Q77" i="1"/>
  <c r="P77" i="1"/>
  <c r="Y77" i="1" s="1"/>
  <c r="Q76" i="1"/>
  <c r="P76" i="1"/>
  <c r="Y76" i="1" s="1"/>
  <c r="Q75" i="1"/>
  <c r="P75" i="1"/>
  <c r="Y75" i="1" s="1"/>
  <c r="Q74" i="1"/>
  <c r="P74" i="1"/>
  <c r="Y74" i="1" s="1"/>
  <c r="Q73" i="1"/>
  <c r="P73" i="1"/>
  <c r="Y73" i="1" s="1"/>
  <c r="Q72" i="1"/>
  <c r="P72" i="1"/>
  <c r="Y72" i="1" s="1"/>
  <c r="Q71" i="1"/>
  <c r="P71" i="1"/>
  <c r="Y71" i="1" s="1"/>
  <c r="Q70" i="1"/>
  <c r="P70" i="1"/>
  <c r="Y70" i="1" s="1"/>
  <c r="Q69" i="1"/>
  <c r="P69" i="1"/>
  <c r="Y69" i="1" s="1"/>
  <c r="Q68" i="1"/>
  <c r="P68" i="1"/>
  <c r="Y68" i="1" s="1"/>
  <c r="Q67" i="1"/>
  <c r="P67" i="1"/>
  <c r="Y67" i="1" s="1"/>
  <c r="Q66" i="1"/>
  <c r="P66" i="1"/>
  <c r="Y66" i="1" s="1"/>
  <c r="Q65" i="1"/>
  <c r="P65" i="1"/>
  <c r="Y65" i="1" s="1"/>
  <c r="Q64" i="1"/>
  <c r="P64" i="1"/>
  <c r="Y64" i="1" s="1"/>
  <c r="Q63" i="1"/>
  <c r="P63" i="1"/>
  <c r="Y63" i="1" s="1"/>
  <c r="Q62" i="1"/>
  <c r="P62" i="1"/>
  <c r="Y62" i="1" s="1"/>
  <c r="Q61" i="1"/>
  <c r="P61" i="1"/>
  <c r="Y61" i="1" s="1"/>
  <c r="Q60" i="1"/>
  <c r="P60" i="1"/>
  <c r="Y60" i="1" s="1"/>
  <c r="Q59" i="1"/>
  <c r="P59" i="1"/>
  <c r="Y59" i="1" s="1"/>
  <c r="Q58" i="1"/>
  <c r="P58" i="1"/>
  <c r="Y58" i="1" s="1"/>
  <c r="Q57" i="1"/>
  <c r="P57" i="1"/>
  <c r="Y57" i="1" s="1"/>
  <c r="Q56" i="1"/>
  <c r="P56" i="1"/>
  <c r="Y56" i="1" s="1"/>
  <c r="Q55" i="1"/>
  <c r="P55" i="1"/>
  <c r="Y55" i="1" s="1"/>
  <c r="Q54" i="1"/>
  <c r="P54" i="1"/>
  <c r="Y54" i="1" s="1"/>
  <c r="Q53" i="1"/>
  <c r="P53" i="1"/>
  <c r="Y53" i="1" s="1"/>
  <c r="Q52" i="1"/>
  <c r="P52" i="1"/>
  <c r="Y52" i="1" s="1"/>
  <c r="Q51" i="1"/>
  <c r="P51" i="1"/>
  <c r="Y51" i="1" s="1"/>
  <c r="Q50" i="1"/>
  <c r="P50" i="1"/>
  <c r="Y50" i="1" s="1"/>
  <c r="Q49" i="1"/>
  <c r="P49" i="1"/>
  <c r="Y49" i="1" s="1"/>
  <c r="Q48" i="1"/>
  <c r="P48" i="1"/>
  <c r="Y48" i="1" s="1"/>
  <c r="Q47" i="1"/>
  <c r="P47" i="1"/>
  <c r="Y47" i="1" s="1"/>
  <c r="Q46" i="1"/>
  <c r="P46" i="1"/>
  <c r="Y46" i="1" s="1"/>
  <c r="Q45" i="1"/>
  <c r="P45" i="1"/>
  <c r="Y45" i="1" s="1"/>
  <c r="Q44" i="1"/>
  <c r="P44" i="1"/>
  <c r="Y44" i="1" s="1"/>
  <c r="Q43" i="1"/>
  <c r="P43" i="1"/>
  <c r="Y43" i="1" s="1"/>
  <c r="Q42" i="1"/>
  <c r="P42" i="1"/>
  <c r="Y42" i="1" s="1"/>
  <c r="Q41" i="1"/>
  <c r="P41" i="1"/>
  <c r="Y41" i="1" s="1"/>
  <c r="Q40" i="1"/>
  <c r="P40" i="1"/>
  <c r="Y40" i="1" s="1"/>
  <c r="Q39" i="1"/>
  <c r="P39" i="1"/>
  <c r="Y39" i="1" s="1"/>
  <c r="Q38" i="1"/>
  <c r="P38" i="1"/>
  <c r="Y38" i="1" s="1"/>
  <c r="Q37" i="1"/>
  <c r="P37" i="1"/>
  <c r="Y37" i="1" s="1"/>
  <c r="Q36" i="1"/>
  <c r="P36" i="1"/>
  <c r="Y36" i="1" s="1"/>
  <c r="Q35" i="1"/>
  <c r="P35" i="1"/>
  <c r="Y35" i="1" s="1"/>
  <c r="Q34" i="1"/>
  <c r="P34" i="1"/>
  <c r="Y34" i="1" s="1"/>
  <c r="Q33" i="1"/>
  <c r="P33" i="1"/>
  <c r="Y33" i="1" s="1"/>
  <c r="Q32" i="1"/>
  <c r="P32" i="1"/>
  <c r="Y32" i="1" s="1"/>
  <c r="Q31" i="1"/>
  <c r="P31" i="1"/>
  <c r="Y31" i="1" s="1"/>
  <c r="Q30" i="1"/>
  <c r="P30" i="1"/>
  <c r="Y30" i="1" s="1"/>
  <c r="Q29" i="1"/>
  <c r="P29" i="1"/>
  <c r="Y29" i="1" s="1"/>
  <c r="Q28" i="1"/>
  <c r="P28" i="1"/>
  <c r="Y28" i="1" s="1"/>
  <c r="Q27" i="1"/>
  <c r="P27" i="1"/>
  <c r="Y27" i="1" s="1"/>
  <c r="Q26" i="1"/>
  <c r="P26" i="1"/>
  <c r="Y26" i="1" s="1"/>
  <c r="Q25" i="1"/>
  <c r="P25" i="1"/>
  <c r="Y25" i="1" s="1"/>
  <c r="Q24" i="1"/>
  <c r="P24" i="1"/>
  <c r="Y24" i="1" s="1"/>
  <c r="Q23" i="1"/>
  <c r="P23" i="1"/>
  <c r="Y23" i="1" s="1"/>
  <c r="Q22" i="1"/>
  <c r="P22" i="1"/>
  <c r="Y22" i="1" s="1"/>
  <c r="Q21" i="1"/>
  <c r="P21" i="1"/>
  <c r="Y21" i="1" s="1"/>
  <c r="Q20" i="1"/>
  <c r="P20" i="1"/>
  <c r="Y20" i="1" s="1"/>
  <c r="Q19" i="1"/>
  <c r="P19" i="1"/>
  <c r="Y19" i="1" s="1"/>
  <c r="Q18" i="1"/>
  <c r="P18" i="1"/>
  <c r="Y18" i="1" s="1"/>
  <c r="Q17" i="1"/>
  <c r="P17" i="1"/>
  <c r="Y17" i="1" s="1"/>
  <c r="Q16" i="1"/>
  <c r="P16" i="1"/>
  <c r="Y16" i="1" s="1"/>
  <c r="Q15" i="1"/>
  <c r="P15" i="1"/>
  <c r="Y15" i="1" s="1"/>
  <c r="Q14" i="1"/>
  <c r="P14" i="1"/>
  <c r="Y14" i="1" s="1"/>
  <c r="Q13" i="1"/>
  <c r="P13" i="1"/>
  <c r="Y13" i="1" s="1"/>
  <c r="Q12" i="1"/>
  <c r="P12" i="1"/>
  <c r="Y12" i="1" s="1"/>
  <c r="Q11" i="1"/>
  <c r="P11" i="1"/>
  <c r="Y11" i="1" s="1"/>
  <c r="Q10" i="1"/>
  <c r="P10" i="1"/>
  <c r="Y10" i="1" s="1"/>
  <c r="Q9" i="1"/>
  <c r="P9" i="1"/>
  <c r="Y9" i="1" s="1"/>
  <c r="Q8" i="1"/>
  <c r="P8" i="1"/>
  <c r="Y8" i="1" s="1"/>
  <c r="Q7" i="1"/>
  <c r="P7" i="1"/>
  <c r="Y7" i="1" s="1"/>
  <c r="Q5" i="1"/>
  <c r="P5" i="1"/>
  <c r="Y5" i="1" s="1"/>
  <c r="Q4" i="1"/>
  <c r="P4" i="1"/>
  <c r="Y4" i="1" s="1"/>
  <c r="Q3" i="1"/>
  <c r="P3" i="1"/>
  <c r="Y3" i="1" s="1"/>
  <c r="Q2" i="1"/>
  <c r="P2" i="1"/>
  <c r="Y2" i="1" s="1"/>
  <c r="P6" i="1"/>
  <c r="Y6" i="1" s="1"/>
  <c r="Q6" i="1"/>
  <c r="J151" i="1"/>
  <c r="T151" i="1" s="1"/>
  <c r="AF151" i="1" s="1"/>
  <c r="J150" i="1"/>
  <c r="T150" i="1" s="1"/>
  <c r="AF150" i="1" s="1"/>
  <c r="J149" i="1"/>
  <c r="T149" i="1" s="1"/>
  <c r="AF149" i="1" s="1"/>
  <c r="J148" i="1"/>
  <c r="T148" i="1" s="1"/>
  <c r="AF148" i="1" s="1"/>
  <c r="J147" i="1"/>
  <c r="T147" i="1" s="1"/>
  <c r="AF147" i="1" s="1"/>
  <c r="J146" i="1"/>
  <c r="T146" i="1" s="1"/>
  <c r="AF146" i="1" s="1"/>
  <c r="J145" i="1"/>
  <c r="T145" i="1" s="1"/>
  <c r="AF145" i="1" s="1"/>
  <c r="J144" i="1"/>
  <c r="T144" i="1" s="1"/>
  <c r="AF144" i="1" s="1"/>
  <c r="J143" i="1"/>
  <c r="T143" i="1" s="1"/>
  <c r="AF143" i="1" s="1"/>
  <c r="J142" i="1"/>
  <c r="T142" i="1" s="1"/>
  <c r="AF142" i="1" s="1"/>
  <c r="J141" i="1"/>
  <c r="T141" i="1" s="1"/>
  <c r="AF141" i="1" s="1"/>
  <c r="J140" i="1"/>
  <c r="T140" i="1" s="1"/>
  <c r="AF140" i="1" s="1"/>
  <c r="J139" i="1"/>
  <c r="T139" i="1" s="1"/>
  <c r="AF139" i="1" s="1"/>
  <c r="J138" i="1"/>
  <c r="T138" i="1" s="1"/>
  <c r="AF138" i="1" s="1"/>
  <c r="J137" i="1"/>
  <c r="T137" i="1" s="1"/>
  <c r="AF137" i="1" s="1"/>
  <c r="J136" i="1"/>
  <c r="T136" i="1" s="1"/>
  <c r="AF136" i="1" s="1"/>
  <c r="J135" i="1"/>
  <c r="T135" i="1" s="1"/>
  <c r="AF135" i="1" s="1"/>
  <c r="J134" i="1"/>
  <c r="T134" i="1" s="1"/>
  <c r="AF134" i="1" s="1"/>
  <c r="J133" i="1"/>
  <c r="T133" i="1" s="1"/>
  <c r="AF133" i="1" s="1"/>
  <c r="J132" i="1"/>
  <c r="T132" i="1" s="1"/>
  <c r="AF132" i="1" s="1"/>
  <c r="J131" i="1"/>
  <c r="T131" i="1" s="1"/>
  <c r="AF131" i="1" s="1"/>
  <c r="J130" i="1"/>
  <c r="T130" i="1" s="1"/>
  <c r="AF130" i="1" s="1"/>
  <c r="J129" i="1"/>
  <c r="T129" i="1" s="1"/>
  <c r="AF129" i="1" s="1"/>
  <c r="J128" i="1"/>
  <c r="T128" i="1" s="1"/>
  <c r="AF128" i="1" s="1"/>
  <c r="J127" i="1"/>
  <c r="T127" i="1" s="1"/>
  <c r="AF127" i="1" s="1"/>
  <c r="J126" i="1"/>
  <c r="T126" i="1" s="1"/>
  <c r="AF126" i="1" s="1"/>
  <c r="J125" i="1"/>
  <c r="T125" i="1" s="1"/>
  <c r="AF125" i="1" s="1"/>
  <c r="J124" i="1"/>
  <c r="T124" i="1" s="1"/>
  <c r="AF124" i="1" s="1"/>
  <c r="J123" i="1"/>
  <c r="T123" i="1" s="1"/>
  <c r="AF123" i="1" s="1"/>
  <c r="J122" i="1"/>
  <c r="T122" i="1" s="1"/>
  <c r="AF122" i="1" s="1"/>
  <c r="J121" i="1"/>
  <c r="T121" i="1" s="1"/>
  <c r="AF121" i="1" s="1"/>
  <c r="J120" i="1"/>
  <c r="T120" i="1" s="1"/>
  <c r="AF120" i="1" s="1"/>
  <c r="J119" i="1"/>
  <c r="T119" i="1" s="1"/>
  <c r="AF119" i="1" s="1"/>
  <c r="J118" i="1"/>
  <c r="T118" i="1" s="1"/>
  <c r="AF118" i="1" s="1"/>
  <c r="J117" i="1"/>
  <c r="T117" i="1" s="1"/>
  <c r="AF117" i="1" s="1"/>
  <c r="J116" i="1"/>
  <c r="T116" i="1" s="1"/>
  <c r="AF116" i="1" s="1"/>
  <c r="J115" i="1"/>
  <c r="T115" i="1" s="1"/>
  <c r="AF115" i="1" s="1"/>
  <c r="J114" i="1"/>
  <c r="T114" i="1" s="1"/>
  <c r="AF114" i="1" s="1"/>
  <c r="J113" i="1"/>
  <c r="T113" i="1" s="1"/>
  <c r="AF113" i="1" s="1"/>
  <c r="J112" i="1"/>
  <c r="T112" i="1" s="1"/>
  <c r="AF112" i="1" s="1"/>
  <c r="J111" i="1"/>
  <c r="T111" i="1" s="1"/>
  <c r="AF111" i="1" s="1"/>
  <c r="J110" i="1"/>
  <c r="T110" i="1" s="1"/>
  <c r="AF110" i="1" s="1"/>
  <c r="J109" i="1"/>
  <c r="T109" i="1" s="1"/>
  <c r="AF109" i="1" s="1"/>
  <c r="J108" i="1"/>
  <c r="T108" i="1" s="1"/>
  <c r="AF108" i="1" s="1"/>
  <c r="J107" i="1"/>
  <c r="T107" i="1" s="1"/>
  <c r="AF107" i="1" s="1"/>
  <c r="J106" i="1"/>
  <c r="T106" i="1" s="1"/>
  <c r="AF106" i="1" s="1"/>
  <c r="J105" i="1"/>
  <c r="T105" i="1" s="1"/>
  <c r="AF105" i="1" s="1"/>
  <c r="J104" i="1"/>
  <c r="T104" i="1" s="1"/>
  <c r="J103" i="1"/>
  <c r="T103" i="1" s="1"/>
  <c r="AF103" i="1" s="1"/>
  <c r="J102" i="1"/>
  <c r="T102" i="1" s="1"/>
  <c r="AF102" i="1" s="1"/>
  <c r="J101" i="1"/>
  <c r="T101" i="1" s="1"/>
  <c r="AF101" i="1" s="1"/>
  <c r="J100" i="1"/>
  <c r="T100" i="1" s="1"/>
  <c r="AF100" i="1" s="1"/>
  <c r="J99" i="1"/>
  <c r="T99" i="1" s="1"/>
  <c r="AF99" i="1" s="1"/>
  <c r="J98" i="1"/>
  <c r="T98" i="1" s="1"/>
  <c r="AF98" i="1" s="1"/>
  <c r="J97" i="1"/>
  <c r="T97" i="1" s="1"/>
  <c r="AF97" i="1" s="1"/>
  <c r="J96" i="1"/>
  <c r="T96" i="1" s="1"/>
  <c r="AF96" i="1" s="1"/>
  <c r="J95" i="1"/>
  <c r="T95" i="1" s="1"/>
  <c r="J94" i="1"/>
  <c r="T94" i="1" s="1"/>
  <c r="AF94" i="1" s="1"/>
  <c r="J93" i="1"/>
  <c r="T93" i="1" s="1"/>
  <c r="AF93" i="1" s="1"/>
  <c r="J92" i="1"/>
  <c r="T92" i="1" s="1"/>
  <c r="AF92" i="1" s="1"/>
  <c r="J91" i="1"/>
  <c r="T91" i="1" s="1"/>
  <c r="AF91" i="1" s="1"/>
  <c r="J90" i="1"/>
  <c r="T90" i="1" s="1"/>
  <c r="AF90" i="1" s="1"/>
  <c r="J89" i="1"/>
  <c r="T89" i="1" s="1"/>
  <c r="AF89" i="1" s="1"/>
  <c r="J88" i="1"/>
  <c r="T88" i="1" s="1"/>
  <c r="AF88" i="1" s="1"/>
  <c r="J87" i="1"/>
  <c r="T87" i="1" s="1"/>
  <c r="AF87" i="1" s="1"/>
  <c r="J86" i="1"/>
  <c r="T86" i="1" s="1"/>
  <c r="AF86" i="1" s="1"/>
  <c r="J85" i="1"/>
  <c r="T85" i="1" s="1"/>
  <c r="AF85" i="1" s="1"/>
  <c r="J84" i="1"/>
  <c r="T84" i="1" s="1"/>
  <c r="AF84" i="1" s="1"/>
  <c r="J83" i="1"/>
  <c r="T83" i="1" s="1"/>
  <c r="AF83" i="1" s="1"/>
  <c r="J82" i="1"/>
  <c r="T82" i="1" s="1"/>
  <c r="AF82" i="1" s="1"/>
  <c r="J81" i="1"/>
  <c r="T81" i="1" s="1"/>
  <c r="AF81" i="1" s="1"/>
  <c r="J80" i="1"/>
  <c r="T80" i="1" s="1"/>
  <c r="AF80" i="1" s="1"/>
  <c r="J79" i="1"/>
  <c r="T79" i="1" s="1"/>
  <c r="AF79" i="1" s="1"/>
  <c r="J78" i="1"/>
  <c r="T78" i="1" s="1"/>
  <c r="AF78" i="1" s="1"/>
  <c r="J77" i="1"/>
  <c r="T77" i="1" s="1"/>
  <c r="AF77" i="1" s="1"/>
  <c r="J76" i="1"/>
  <c r="T76" i="1" s="1"/>
  <c r="AF76" i="1" s="1"/>
  <c r="J75" i="1"/>
  <c r="T75" i="1" s="1"/>
  <c r="AF75" i="1" s="1"/>
  <c r="J74" i="1"/>
  <c r="T74" i="1" s="1"/>
  <c r="J73" i="1"/>
  <c r="T73" i="1" s="1"/>
  <c r="AF73" i="1" s="1"/>
  <c r="J72" i="1"/>
  <c r="T72" i="1" s="1"/>
  <c r="AF72" i="1" s="1"/>
  <c r="J71" i="1"/>
  <c r="T71" i="1" s="1"/>
  <c r="AF71" i="1" s="1"/>
  <c r="J70" i="1"/>
  <c r="T70" i="1" s="1"/>
  <c r="AF70" i="1" s="1"/>
  <c r="J69" i="1"/>
  <c r="T69" i="1" s="1"/>
  <c r="AF69" i="1" s="1"/>
  <c r="J68" i="1"/>
  <c r="T68" i="1" s="1"/>
  <c r="AF68" i="1" s="1"/>
  <c r="J67" i="1"/>
  <c r="T67" i="1" s="1"/>
  <c r="AF67" i="1" s="1"/>
  <c r="J66" i="1"/>
  <c r="T66" i="1" s="1"/>
  <c r="AF66" i="1" s="1"/>
  <c r="J65" i="1"/>
  <c r="T65" i="1" s="1"/>
  <c r="AF65" i="1" s="1"/>
  <c r="J64" i="1"/>
  <c r="T64" i="1" s="1"/>
  <c r="AF64" i="1" s="1"/>
  <c r="J63" i="1"/>
  <c r="T63" i="1" s="1"/>
  <c r="AF63" i="1" s="1"/>
  <c r="J62" i="1"/>
  <c r="T62" i="1" s="1"/>
  <c r="AF62" i="1" s="1"/>
  <c r="J61" i="1"/>
  <c r="T61" i="1" s="1"/>
  <c r="AF61" i="1" s="1"/>
  <c r="J60" i="1"/>
  <c r="T60" i="1" s="1"/>
  <c r="AF60" i="1" s="1"/>
  <c r="J59" i="1"/>
  <c r="T59" i="1" s="1"/>
  <c r="AF59" i="1" s="1"/>
  <c r="J58" i="1"/>
  <c r="T58" i="1" s="1"/>
  <c r="AF58" i="1" s="1"/>
  <c r="J57" i="1"/>
  <c r="T57" i="1" s="1"/>
  <c r="AF57" i="1" s="1"/>
  <c r="J56" i="1"/>
  <c r="T56" i="1" s="1"/>
  <c r="AF56" i="1" s="1"/>
  <c r="J55" i="1"/>
  <c r="T55" i="1" s="1"/>
  <c r="AF55" i="1" s="1"/>
  <c r="J54" i="1"/>
  <c r="T54" i="1" s="1"/>
  <c r="AF54" i="1" s="1"/>
  <c r="J53" i="1"/>
  <c r="T53" i="1" s="1"/>
  <c r="AF53" i="1" s="1"/>
  <c r="J52" i="1"/>
  <c r="T52" i="1" s="1"/>
  <c r="AF52" i="1" s="1"/>
  <c r="J51" i="1"/>
  <c r="T51" i="1" s="1"/>
  <c r="AF51" i="1" s="1"/>
  <c r="J50" i="1"/>
  <c r="T50" i="1" s="1"/>
  <c r="AF50" i="1" s="1"/>
  <c r="J49" i="1"/>
  <c r="T49" i="1" s="1"/>
  <c r="AF49" i="1" s="1"/>
  <c r="J48" i="1"/>
  <c r="T48" i="1" s="1"/>
  <c r="AF48" i="1" s="1"/>
  <c r="J47" i="1"/>
  <c r="T47" i="1" s="1"/>
  <c r="AF47" i="1" s="1"/>
  <c r="J46" i="1"/>
  <c r="T46" i="1" s="1"/>
  <c r="AF46" i="1" s="1"/>
  <c r="J45" i="1"/>
  <c r="T45" i="1" s="1"/>
  <c r="AF45" i="1" s="1"/>
  <c r="J44" i="1"/>
  <c r="T44" i="1" s="1"/>
  <c r="AF44" i="1" s="1"/>
  <c r="J43" i="1"/>
  <c r="T43" i="1" s="1"/>
  <c r="AF43" i="1" s="1"/>
  <c r="J42" i="1"/>
  <c r="T42" i="1" s="1"/>
  <c r="AF42" i="1" s="1"/>
  <c r="J41" i="1"/>
  <c r="T41" i="1" s="1"/>
  <c r="AF41" i="1" s="1"/>
  <c r="J40" i="1"/>
  <c r="T40" i="1" s="1"/>
  <c r="AF40" i="1" s="1"/>
  <c r="J39" i="1"/>
  <c r="T39" i="1" s="1"/>
  <c r="AF39" i="1" s="1"/>
  <c r="J38" i="1"/>
  <c r="T38" i="1" s="1"/>
  <c r="AF38" i="1" s="1"/>
  <c r="J37" i="1"/>
  <c r="T37" i="1" s="1"/>
  <c r="AF37" i="1" s="1"/>
  <c r="J36" i="1"/>
  <c r="T36" i="1" s="1"/>
  <c r="AF36" i="1" s="1"/>
  <c r="J35" i="1"/>
  <c r="T35" i="1" s="1"/>
  <c r="AF35" i="1" s="1"/>
  <c r="J34" i="1"/>
  <c r="T34" i="1" s="1"/>
  <c r="AF34" i="1" s="1"/>
  <c r="J33" i="1"/>
  <c r="T33" i="1" s="1"/>
  <c r="AF33" i="1" s="1"/>
  <c r="J32" i="1"/>
  <c r="T32" i="1" s="1"/>
  <c r="AF32" i="1" s="1"/>
  <c r="J31" i="1"/>
  <c r="T31" i="1" s="1"/>
  <c r="AF31" i="1" s="1"/>
  <c r="J30" i="1"/>
  <c r="T30" i="1" s="1"/>
  <c r="AF30" i="1" s="1"/>
  <c r="J29" i="1"/>
  <c r="T29" i="1" s="1"/>
  <c r="AF29" i="1" s="1"/>
  <c r="J28" i="1"/>
  <c r="T28" i="1" s="1"/>
  <c r="AF28" i="1" s="1"/>
  <c r="J27" i="1"/>
  <c r="T27" i="1" s="1"/>
  <c r="AF27" i="1" s="1"/>
  <c r="J26" i="1"/>
  <c r="T26" i="1" s="1"/>
  <c r="AF26" i="1" s="1"/>
  <c r="J25" i="1"/>
  <c r="T25" i="1" s="1"/>
  <c r="AF25" i="1" s="1"/>
  <c r="J24" i="1"/>
  <c r="T24" i="1" s="1"/>
  <c r="AF24" i="1" s="1"/>
  <c r="J23" i="1"/>
  <c r="T23" i="1" s="1"/>
  <c r="AF23" i="1" s="1"/>
  <c r="J22" i="1"/>
  <c r="T22" i="1" s="1"/>
  <c r="AF22" i="1" s="1"/>
  <c r="J21" i="1"/>
  <c r="T21" i="1" s="1"/>
  <c r="AF21" i="1" s="1"/>
  <c r="J20" i="1"/>
  <c r="T20" i="1" s="1"/>
  <c r="AF20" i="1" s="1"/>
  <c r="J19" i="1"/>
  <c r="T19" i="1" s="1"/>
  <c r="AF19" i="1" s="1"/>
  <c r="J18" i="1"/>
  <c r="T18" i="1" s="1"/>
  <c r="AF18" i="1" s="1"/>
  <c r="J17" i="1"/>
  <c r="T17" i="1" s="1"/>
  <c r="AF17" i="1" s="1"/>
  <c r="J16" i="1"/>
  <c r="T16" i="1" s="1"/>
  <c r="AF16" i="1" s="1"/>
  <c r="J15" i="1"/>
  <c r="T15" i="1" s="1"/>
  <c r="AF15" i="1" s="1"/>
  <c r="J14" i="1"/>
  <c r="T14" i="1" s="1"/>
  <c r="AF14" i="1" s="1"/>
  <c r="J13" i="1"/>
  <c r="T13" i="1" s="1"/>
  <c r="AF13" i="1" s="1"/>
  <c r="J12" i="1"/>
  <c r="T12" i="1" s="1"/>
  <c r="AF12" i="1" s="1"/>
  <c r="J11" i="1"/>
  <c r="T11" i="1" s="1"/>
  <c r="AF11" i="1" s="1"/>
  <c r="J10" i="1"/>
  <c r="T10" i="1" s="1"/>
  <c r="AF10" i="1" s="1"/>
  <c r="J9" i="1"/>
  <c r="T9" i="1" s="1"/>
  <c r="AF9" i="1" s="1"/>
  <c r="J8" i="1"/>
  <c r="T8" i="1" s="1"/>
  <c r="AF8" i="1" s="1"/>
  <c r="J7" i="1"/>
  <c r="T7" i="1" s="1"/>
  <c r="AF7" i="1" s="1"/>
  <c r="J6" i="1"/>
  <c r="T6" i="1" s="1"/>
  <c r="AF6" i="1" s="1"/>
  <c r="J5" i="1"/>
  <c r="T5" i="1" s="1"/>
  <c r="AF5" i="1" s="1"/>
  <c r="J4" i="1"/>
  <c r="T4" i="1" s="1"/>
  <c r="AF4" i="1" s="1"/>
  <c r="J3" i="1"/>
  <c r="T3" i="1" s="1"/>
  <c r="AF3" i="1" s="1"/>
  <c r="J2" i="1"/>
  <c r="T2" i="1" s="1"/>
  <c r="AF2" i="1" s="1"/>
  <c r="V95" i="1" l="1"/>
  <c r="AF95" i="1"/>
  <c r="V104" i="1"/>
  <c r="AF104" i="1"/>
  <c r="V52" i="1"/>
  <c r="AD52" i="1"/>
  <c r="W60" i="1"/>
  <c r="AD60" i="1"/>
  <c r="V68" i="1"/>
  <c r="AD68" i="1"/>
  <c r="V76" i="1"/>
  <c r="AD76" i="1"/>
  <c r="W84" i="1"/>
  <c r="AD84" i="1"/>
  <c r="W92" i="1"/>
  <c r="AD92" i="1"/>
  <c r="V100" i="1"/>
  <c r="AD100" i="1"/>
  <c r="V108" i="1"/>
  <c r="AD108" i="1"/>
  <c r="V116" i="1"/>
  <c r="AD116" i="1"/>
  <c r="W124" i="1"/>
  <c r="AD124" i="1"/>
  <c r="V132" i="1"/>
  <c r="AD132" i="1"/>
  <c r="V140" i="1"/>
  <c r="AD140" i="1"/>
  <c r="V148" i="1"/>
  <c r="AD148" i="1"/>
  <c r="V74" i="1"/>
  <c r="AF74" i="1"/>
  <c r="X150" i="1"/>
  <c r="AN150" i="1" s="1"/>
  <c r="X135" i="1"/>
  <c r="AN135" i="1" s="1"/>
  <c r="X139" i="1"/>
  <c r="AA139" i="1" s="1"/>
  <c r="X143" i="1"/>
  <c r="AN143" i="1" s="1"/>
  <c r="X147" i="1"/>
  <c r="AN147" i="1" s="1"/>
  <c r="X151" i="1"/>
  <c r="AN151" i="1" s="1"/>
  <c r="X128" i="1"/>
  <c r="AN128" i="1" s="1"/>
  <c r="X132" i="1"/>
  <c r="AN132" i="1" s="1"/>
  <c r="X136" i="1"/>
  <c r="AA136" i="1" s="1"/>
  <c r="X140" i="1"/>
  <c r="AN140" i="1" s="1"/>
  <c r="X144" i="1"/>
  <c r="AN144" i="1" s="1"/>
  <c r="X148" i="1"/>
  <c r="AN148" i="1" s="1"/>
  <c r="X133" i="1"/>
  <c r="AA133" i="1" s="1"/>
  <c r="X137" i="1"/>
  <c r="AN137" i="1" s="1"/>
  <c r="X141" i="1"/>
  <c r="AN141" i="1" s="1"/>
  <c r="X149" i="1"/>
  <c r="AA149" i="1" s="1"/>
  <c r="V144" i="1"/>
  <c r="U145" i="1"/>
  <c r="V72" i="1"/>
  <c r="X10" i="1"/>
  <c r="AA10" i="1" s="1"/>
  <c r="U10" i="1"/>
  <c r="X30" i="1"/>
  <c r="AA30" i="1" s="1"/>
  <c r="U30" i="1"/>
  <c r="X50" i="1"/>
  <c r="AA50" i="1" s="1"/>
  <c r="U50" i="1"/>
  <c r="X74" i="1"/>
  <c r="AA74" i="1" s="1"/>
  <c r="U74" i="1"/>
  <c r="X94" i="1"/>
  <c r="AA94" i="1" s="1"/>
  <c r="U94" i="1"/>
  <c r="X114" i="1"/>
  <c r="AA114" i="1" s="1"/>
  <c r="U114" i="1"/>
  <c r="V17" i="1"/>
  <c r="V41" i="1"/>
  <c r="V49" i="1"/>
  <c r="V57" i="1"/>
  <c r="V73" i="1"/>
  <c r="V81" i="1"/>
  <c r="V89" i="1"/>
  <c r="V97" i="1"/>
  <c r="V128" i="1"/>
  <c r="X26" i="1"/>
  <c r="AA26" i="1" s="1"/>
  <c r="U26" i="1"/>
  <c r="X46" i="1"/>
  <c r="AA46" i="1" s="1"/>
  <c r="U46" i="1"/>
  <c r="X70" i="1"/>
  <c r="AA70" i="1" s="1"/>
  <c r="U70" i="1"/>
  <c r="X86" i="1"/>
  <c r="AA86" i="1" s="1"/>
  <c r="U86" i="1"/>
  <c r="X110" i="1"/>
  <c r="AA110" i="1" s="1"/>
  <c r="U110" i="1"/>
  <c r="X130" i="1"/>
  <c r="AA130" i="1" s="1"/>
  <c r="U130" i="1"/>
  <c r="X146" i="1"/>
  <c r="AA146" i="1" s="1"/>
  <c r="U146" i="1"/>
  <c r="V9" i="1"/>
  <c r="V25" i="1"/>
  <c r="X2" i="1"/>
  <c r="AA2" i="1" s="1"/>
  <c r="U2" i="1"/>
  <c r="X7" i="1"/>
  <c r="AA7" i="1" s="1"/>
  <c r="U7" i="1"/>
  <c r="U11" i="1"/>
  <c r="X11" i="1"/>
  <c r="AA11" i="1" s="1"/>
  <c r="X15" i="1"/>
  <c r="AA15" i="1" s="1"/>
  <c r="U15" i="1"/>
  <c r="X19" i="1"/>
  <c r="AA19" i="1" s="1"/>
  <c r="U19" i="1"/>
  <c r="X23" i="1"/>
  <c r="AA23" i="1" s="1"/>
  <c r="U23" i="1"/>
  <c r="U27" i="1"/>
  <c r="X27" i="1"/>
  <c r="AA27" i="1" s="1"/>
  <c r="X31" i="1"/>
  <c r="AA31" i="1" s="1"/>
  <c r="U31" i="1"/>
  <c r="X35" i="1"/>
  <c r="AA35" i="1" s="1"/>
  <c r="U35" i="1"/>
  <c r="X39" i="1"/>
  <c r="AA39" i="1" s="1"/>
  <c r="U39" i="1"/>
  <c r="X43" i="1"/>
  <c r="AA43" i="1" s="1"/>
  <c r="U43" i="1"/>
  <c r="X47" i="1"/>
  <c r="AA47" i="1" s="1"/>
  <c r="U47" i="1"/>
  <c r="X51" i="1"/>
  <c r="AA51" i="1" s="1"/>
  <c r="U51" i="1"/>
  <c r="X55" i="1"/>
  <c r="AA55" i="1" s="1"/>
  <c r="U55" i="1"/>
  <c r="X59" i="1"/>
  <c r="AA59" i="1" s="1"/>
  <c r="U59" i="1"/>
  <c r="X63" i="1"/>
  <c r="AA63" i="1" s="1"/>
  <c r="U63" i="1"/>
  <c r="X67" i="1"/>
  <c r="AA67" i="1" s="1"/>
  <c r="U67" i="1"/>
  <c r="X71" i="1"/>
  <c r="AA71" i="1" s="1"/>
  <c r="U71" i="1"/>
  <c r="X75" i="1"/>
  <c r="AA75" i="1" s="1"/>
  <c r="U75" i="1"/>
  <c r="X79" i="1"/>
  <c r="AA79" i="1" s="1"/>
  <c r="U79" i="1"/>
  <c r="X83" i="1"/>
  <c r="AA83" i="1" s="1"/>
  <c r="U83" i="1"/>
  <c r="X87" i="1"/>
  <c r="AA87" i="1" s="1"/>
  <c r="U87" i="1"/>
  <c r="X91" i="1"/>
  <c r="AA91" i="1" s="1"/>
  <c r="U91" i="1"/>
  <c r="X95" i="1"/>
  <c r="AA95" i="1" s="1"/>
  <c r="U95" i="1"/>
  <c r="X99" i="1"/>
  <c r="AA99" i="1" s="1"/>
  <c r="U99" i="1"/>
  <c r="X103" i="1"/>
  <c r="AA103" i="1" s="1"/>
  <c r="U103" i="1"/>
  <c r="X107" i="1"/>
  <c r="AA107" i="1" s="1"/>
  <c r="U107" i="1"/>
  <c r="X111" i="1"/>
  <c r="AA111" i="1" s="1"/>
  <c r="U111" i="1"/>
  <c r="X115" i="1"/>
  <c r="AA115" i="1" s="1"/>
  <c r="U115" i="1"/>
  <c r="X119" i="1"/>
  <c r="AA119" i="1" s="1"/>
  <c r="U119" i="1"/>
  <c r="X123" i="1"/>
  <c r="AA123" i="1" s="1"/>
  <c r="U123" i="1"/>
  <c r="X127" i="1"/>
  <c r="AA127" i="1" s="1"/>
  <c r="U127" i="1"/>
  <c r="X131" i="1"/>
  <c r="AA131" i="1" s="1"/>
  <c r="U131" i="1"/>
  <c r="V113" i="1"/>
  <c r="V121" i="1"/>
  <c r="V129" i="1"/>
  <c r="V137" i="1"/>
  <c r="V145" i="1"/>
  <c r="V64" i="1"/>
  <c r="V120" i="1"/>
  <c r="V136" i="1"/>
  <c r="X18" i="1"/>
  <c r="AA18" i="1" s="1"/>
  <c r="U18" i="1"/>
  <c r="X38" i="1"/>
  <c r="AA38" i="1" s="1"/>
  <c r="U38" i="1"/>
  <c r="X58" i="1"/>
  <c r="AA58" i="1" s="1"/>
  <c r="U58" i="1"/>
  <c r="X82" i="1"/>
  <c r="AA82" i="1" s="1"/>
  <c r="U82" i="1"/>
  <c r="X102" i="1"/>
  <c r="AA102" i="1" s="1"/>
  <c r="U102" i="1"/>
  <c r="X122" i="1"/>
  <c r="AA122" i="1" s="1"/>
  <c r="U122" i="1"/>
  <c r="X138" i="1"/>
  <c r="AA138" i="1" s="1"/>
  <c r="U138" i="1"/>
  <c r="W10" i="1"/>
  <c r="V42" i="1"/>
  <c r="W50" i="1"/>
  <c r="W58" i="1"/>
  <c r="W66" i="1"/>
  <c r="W74" i="1"/>
  <c r="W82" i="1"/>
  <c r="W90" i="1"/>
  <c r="V94" i="1"/>
  <c r="W98" i="1"/>
  <c r="V102" i="1"/>
  <c r="V106" i="1"/>
  <c r="V110" i="1"/>
  <c r="V114" i="1"/>
  <c r="V118" i="1"/>
  <c r="V122" i="1"/>
  <c r="V126" i="1"/>
  <c r="W130" i="1"/>
  <c r="V134" i="1"/>
  <c r="V138" i="1"/>
  <c r="V142" i="1"/>
  <c r="V146" i="1"/>
  <c r="V150" i="1"/>
  <c r="X6" i="1"/>
  <c r="AA6" i="1" s="1"/>
  <c r="U6" i="1"/>
  <c r="X5" i="1"/>
  <c r="AA5" i="1" s="1"/>
  <c r="U5" i="1"/>
  <c r="X14" i="1"/>
  <c r="AA14" i="1" s="1"/>
  <c r="U14" i="1"/>
  <c r="X34" i="1"/>
  <c r="AA34" i="1" s="1"/>
  <c r="U34" i="1"/>
  <c r="X54" i="1"/>
  <c r="AA54" i="1" s="1"/>
  <c r="U54" i="1"/>
  <c r="X62" i="1"/>
  <c r="AA62" i="1" s="1"/>
  <c r="U62" i="1"/>
  <c r="X78" i="1"/>
  <c r="AA78" i="1" s="1"/>
  <c r="U78" i="1"/>
  <c r="X98" i="1"/>
  <c r="AA98" i="1" s="1"/>
  <c r="U98" i="1"/>
  <c r="X118" i="1"/>
  <c r="AA118" i="1" s="1"/>
  <c r="U118" i="1"/>
  <c r="X134" i="1"/>
  <c r="AA134" i="1" s="1"/>
  <c r="U134" i="1"/>
  <c r="X3" i="1"/>
  <c r="AA3" i="1" s="1"/>
  <c r="U3" i="1"/>
  <c r="U8" i="1"/>
  <c r="X8" i="1"/>
  <c r="AA8" i="1" s="1"/>
  <c r="U12" i="1"/>
  <c r="X12" i="1"/>
  <c r="AA12" i="1" s="1"/>
  <c r="X16" i="1"/>
  <c r="AA16" i="1" s="1"/>
  <c r="U16" i="1"/>
  <c r="X20" i="1"/>
  <c r="AA20" i="1" s="1"/>
  <c r="U20" i="1"/>
  <c r="U24" i="1"/>
  <c r="X24" i="1"/>
  <c r="AA24" i="1" s="1"/>
  <c r="U28" i="1"/>
  <c r="X28" i="1"/>
  <c r="AA28" i="1" s="1"/>
  <c r="X32" i="1"/>
  <c r="AA32" i="1" s="1"/>
  <c r="U32" i="1"/>
  <c r="X36" i="1"/>
  <c r="AA36" i="1" s="1"/>
  <c r="U36" i="1"/>
  <c r="X40" i="1"/>
  <c r="AA40" i="1" s="1"/>
  <c r="U40" i="1"/>
  <c r="X44" i="1"/>
  <c r="AA44" i="1" s="1"/>
  <c r="U44" i="1"/>
  <c r="X48" i="1"/>
  <c r="AA48" i="1" s="1"/>
  <c r="U48" i="1"/>
  <c r="X52" i="1"/>
  <c r="AA52" i="1" s="1"/>
  <c r="U52" i="1"/>
  <c r="X56" i="1"/>
  <c r="AA56" i="1" s="1"/>
  <c r="U56" i="1"/>
  <c r="X60" i="1"/>
  <c r="AA60" i="1" s="1"/>
  <c r="U60" i="1"/>
  <c r="X64" i="1"/>
  <c r="AA64" i="1" s="1"/>
  <c r="U64" i="1"/>
  <c r="X68" i="1"/>
  <c r="AA68" i="1" s="1"/>
  <c r="U68" i="1"/>
  <c r="X72" i="1"/>
  <c r="AA72" i="1" s="1"/>
  <c r="U72" i="1"/>
  <c r="X76" i="1"/>
  <c r="AA76" i="1" s="1"/>
  <c r="U76" i="1"/>
  <c r="X80" i="1"/>
  <c r="AA80" i="1" s="1"/>
  <c r="U80" i="1"/>
  <c r="X84" i="1"/>
  <c r="AA84" i="1" s="1"/>
  <c r="U84" i="1"/>
  <c r="X88" i="1"/>
  <c r="AA88" i="1" s="1"/>
  <c r="U88" i="1"/>
  <c r="X92" i="1"/>
  <c r="AA92" i="1" s="1"/>
  <c r="U92" i="1"/>
  <c r="X96" i="1"/>
  <c r="AA96" i="1" s="1"/>
  <c r="U96" i="1"/>
  <c r="X100" i="1"/>
  <c r="AA100" i="1" s="1"/>
  <c r="U100" i="1"/>
  <c r="X104" i="1"/>
  <c r="AA104" i="1" s="1"/>
  <c r="U104" i="1"/>
  <c r="X108" i="1"/>
  <c r="AA108" i="1" s="1"/>
  <c r="U108" i="1"/>
  <c r="X112" i="1"/>
  <c r="AA112" i="1" s="1"/>
  <c r="U112" i="1"/>
  <c r="X116" i="1"/>
  <c r="AA116" i="1" s="1"/>
  <c r="U116" i="1"/>
  <c r="X120" i="1"/>
  <c r="AA120" i="1" s="1"/>
  <c r="U120" i="1"/>
  <c r="X124" i="1"/>
  <c r="AA124" i="1" s="1"/>
  <c r="U124" i="1"/>
  <c r="V31" i="1"/>
  <c r="V59" i="1"/>
  <c r="V83" i="1"/>
  <c r="V91" i="1"/>
  <c r="V99" i="1"/>
  <c r="V112" i="1"/>
  <c r="X22" i="1"/>
  <c r="AA22" i="1" s="1"/>
  <c r="U22" i="1"/>
  <c r="X42" i="1"/>
  <c r="AA42" i="1" s="1"/>
  <c r="U42" i="1"/>
  <c r="X66" i="1"/>
  <c r="AA66" i="1" s="1"/>
  <c r="U66" i="1"/>
  <c r="X90" i="1"/>
  <c r="AA90" i="1" s="1"/>
  <c r="U90" i="1"/>
  <c r="X106" i="1"/>
  <c r="AA106" i="1" s="1"/>
  <c r="U106" i="1"/>
  <c r="X126" i="1"/>
  <c r="AA126" i="1" s="1"/>
  <c r="U126" i="1"/>
  <c r="X142" i="1"/>
  <c r="AA142" i="1" s="1"/>
  <c r="U142" i="1"/>
  <c r="X4" i="1"/>
  <c r="AA4" i="1" s="1"/>
  <c r="U4" i="1"/>
  <c r="X9" i="1"/>
  <c r="AA9" i="1" s="1"/>
  <c r="U9" i="1"/>
  <c r="X13" i="1"/>
  <c r="AA13" i="1" s="1"/>
  <c r="U13" i="1"/>
  <c r="X17" i="1"/>
  <c r="AA17" i="1" s="1"/>
  <c r="U17" i="1"/>
  <c r="X21" i="1"/>
  <c r="AA21" i="1" s="1"/>
  <c r="U21" i="1"/>
  <c r="X25" i="1"/>
  <c r="AA25" i="1" s="1"/>
  <c r="U25" i="1"/>
  <c r="X29" i="1"/>
  <c r="AA29" i="1" s="1"/>
  <c r="U29" i="1"/>
  <c r="X33" i="1"/>
  <c r="AA33" i="1" s="1"/>
  <c r="U33" i="1"/>
  <c r="X37" i="1"/>
  <c r="AA37" i="1" s="1"/>
  <c r="U37" i="1"/>
  <c r="U41" i="1"/>
  <c r="X41" i="1"/>
  <c r="AA41" i="1" s="1"/>
  <c r="U45" i="1"/>
  <c r="X45" i="1"/>
  <c r="AA45" i="1" s="1"/>
  <c r="X49" i="1"/>
  <c r="AA49" i="1" s="1"/>
  <c r="U49" i="1"/>
  <c r="X53" i="1"/>
  <c r="AA53" i="1" s="1"/>
  <c r="U53" i="1"/>
  <c r="X57" i="1"/>
  <c r="AA57" i="1" s="1"/>
  <c r="U57" i="1"/>
  <c r="X61" i="1"/>
  <c r="AA61" i="1" s="1"/>
  <c r="U61" i="1"/>
  <c r="X65" i="1"/>
  <c r="AA65" i="1" s="1"/>
  <c r="U65" i="1"/>
  <c r="X69" i="1"/>
  <c r="AA69" i="1" s="1"/>
  <c r="U69" i="1"/>
  <c r="X73" i="1"/>
  <c r="AA73" i="1" s="1"/>
  <c r="U73" i="1"/>
  <c r="X77" i="1"/>
  <c r="AA77" i="1" s="1"/>
  <c r="U77" i="1"/>
  <c r="X81" i="1"/>
  <c r="AA81" i="1" s="1"/>
  <c r="U81" i="1"/>
  <c r="X85" i="1"/>
  <c r="AA85" i="1" s="1"/>
  <c r="U85" i="1"/>
  <c r="X89" i="1"/>
  <c r="AA89" i="1" s="1"/>
  <c r="U89" i="1"/>
  <c r="X93" i="1"/>
  <c r="AA93" i="1" s="1"/>
  <c r="U93" i="1"/>
  <c r="X97" i="1"/>
  <c r="AA97" i="1" s="1"/>
  <c r="U97" i="1"/>
  <c r="X101" i="1"/>
  <c r="AA101" i="1" s="1"/>
  <c r="U101" i="1"/>
  <c r="U105" i="1"/>
  <c r="X105" i="1"/>
  <c r="AA105" i="1" s="1"/>
  <c r="X109" i="1"/>
  <c r="AA109" i="1" s="1"/>
  <c r="U109" i="1"/>
  <c r="X113" i="1"/>
  <c r="AA113" i="1" s="1"/>
  <c r="U113" i="1"/>
  <c r="X117" i="1"/>
  <c r="AA117" i="1" s="1"/>
  <c r="U117" i="1"/>
  <c r="X121" i="1"/>
  <c r="AA121" i="1" s="1"/>
  <c r="U121" i="1"/>
  <c r="X125" i="1"/>
  <c r="AA125" i="1" s="1"/>
  <c r="U125" i="1"/>
  <c r="X129" i="1"/>
  <c r="AA129" i="1" s="1"/>
  <c r="U129" i="1"/>
  <c r="V51" i="1"/>
  <c r="V4" i="1"/>
  <c r="V12" i="1"/>
  <c r="V20" i="1"/>
  <c r="V28" i="1"/>
  <c r="V36" i="1"/>
  <c r="V44" i="1"/>
  <c r="U150" i="1"/>
  <c r="V84" i="1"/>
  <c r="Z84" i="1" s="1"/>
  <c r="W4" i="1"/>
  <c r="W36" i="1"/>
  <c r="W68" i="1"/>
  <c r="Z68" i="1" s="1"/>
  <c r="W100" i="1"/>
  <c r="Z100" i="1" s="1"/>
  <c r="W132" i="1"/>
  <c r="Z132" i="1" s="1"/>
  <c r="X145" i="1"/>
  <c r="AA145" i="1" s="1"/>
  <c r="AA135" i="1"/>
  <c r="AA147" i="1"/>
  <c r="W7" i="1"/>
  <c r="W15" i="1"/>
  <c r="W23" i="1"/>
  <c r="W31" i="1"/>
  <c r="W39" i="1"/>
  <c r="W47" i="1"/>
  <c r="W55" i="1"/>
  <c r="W63" i="1"/>
  <c r="W71" i="1"/>
  <c r="W79" i="1"/>
  <c r="W87" i="1"/>
  <c r="W95" i="1"/>
  <c r="Z95" i="1" s="1"/>
  <c r="W103" i="1"/>
  <c r="W111" i="1"/>
  <c r="W119" i="1"/>
  <c r="W127" i="1"/>
  <c r="W135" i="1"/>
  <c r="W143" i="1"/>
  <c r="W151" i="1"/>
  <c r="U135" i="1"/>
  <c r="U143" i="1"/>
  <c r="U151" i="1"/>
  <c r="V103" i="1"/>
  <c r="V63" i="1"/>
  <c r="Z63" i="1" s="1"/>
  <c r="V50" i="1"/>
  <c r="W42" i="1"/>
  <c r="W106" i="1"/>
  <c r="W138" i="1"/>
  <c r="V2" i="1"/>
  <c r="V10" i="1"/>
  <c r="V18" i="1"/>
  <c r="V26" i="1"/>
  <c r="V34" i="1"/>
  <c r="U128" i="1"/>
  <c r="U136" i="1"/>
  <c r="U144" i="1"/>
  <c r="V151" i="1"/>
  <c r="V143" i="1"/>
  <c r="V135" i="1"/>
  <c r="V127" i="1"/>
  <c r="Z127" i="1" s="1"/>
  <c r="V119" i="1"/>
  <c r="V111" i="1"/>
  <c r="V92" i="1"/>
  <c r="V82" i="1"/>
  <c r="V60" i="1"/>
  <c r="V23" i="1"/>
  <c r="W12" i="1"/>
  <c r="W44" i="1"/>
  <c r="W76" i="1"/>
  <c r="Z76" i="1" s="1"/>
  <c r="W108" i="1"/>
  <c r="Z108" i="1" s="1"/>
  <c r="W140" i="1"/>
  <c r="Z140" i="1" s="1"/>
  <c r="AA144" i="1"/>
  <c r="V5" i="1"/>
  <c r="W5" i="1"/>
  <c r="V13" i="1"/>
  <c r="W13" i="1"/>
  <c r="V21" i="1"/>
  <c r="W21" i="1"/>
  <c r="V29" i="1"/>
  <c r="W29" i="1"/>
  <c r="V37" i="1"/>
  <c r="W37" i="1"/>
  <c r="V45" i="1"/>
  <c r="W45" i="1"/>
  <c r="V53" i="1"/>
  <c r="W53" i="1"/>
  <c r="V61" i="1"/>
  <c r="W61" i="1"/>
  <c r="V69" i="1"/>
  <c r="W69" i="1"/>
  <c r="V77" i="1"/>
  <c r="W77" i="1"/>
  <c r="V85" i="1"/>
  <c r="W85" i="1"/>
  <c r="V93" i="1"/>
  <c r="W93" i="1"/>
  <c r="V101" i="1"/>
  <c r="W101" i="1"/>
  <c r="V109" i="1"/>
  <c r="W109" i="1"/>
  <c r="W117" i="1"/>
  <c r="W125" i="1"/>
  <c r="W133" i="1"/>
  <c r="W141" i="1"/>
  <c r="W149" i="1"/>
  <c r="U137" i="1"/>
  <c r="V71" i="1"/>
  <c r="V47" i="1"/>
  <c r="W18" i="1"/>
  <c r="W114" i="1"/>
  <c r="W146" i="1"/>
  <c r="V8" i="1"/>
  <c r="W8" i="1"/>
  <c r="V16" i="1"/>
  <c r="W16" i="1"/>
  <c r="V24" i="1"/>
  <c r="W24" i="1"/>
  <c r="V32" i="1"/>
  <c r="W32" i="1"/>
  <c r="V40" i="1"/>
  <c r="W40" i="1"/>
  <c r="V48" i="1"/>
  <c r="W48" i="1"/>
  <c r="V56" i="1"/>
  <c r="W56" i="1"/>
  <c r="W64" i="1"/>
  <c r="W72" i="1"/>
  <c r="W80" i="1"/>
  <c r="W88" i="1"/>
  <c r="W96" i="1"/>
  <c r="W104" i="1"/>
  <c r="Z104" i="1" s="1"/>
  <c r="W112" i="1"/>
  <c r="W120" i="1"/>
  <c r="W128" i="1"/>
  <c r="W136" i="1"/>
  <c r="W144" i="1"/>
  <c r="V149" i="1"/>
  <c r="Z149" i="1" s="1"/>
  <c r="V141" i="1"/>
  <c r="V133" i="1"/>
  <c r="V125" i="1"/>
  <c r="V117" i="1"/>
  <c r="Z117" i="1" s="1"/>
  <c r="V90" i="1"/>
  <c r="Z90" i="1" s="1"/>
  <c r="V80" i="1"/>
  <c r="V58" i="1"/>
  <c r="Z58" i="1" s="1"/>
  <c r="V15" i="1"/>
  <c r="W20" i="1"/>
  <c r="W52" i="1"/>
  <c r="Z52" i="1" s="1"/>
  <c r="W116" i="1"/>
  <c r="Z116" i="1" s="1"/>
  <c r="W148" i="1"/>
  <c r="W3" i="1"/>
  <c r="V3" i="1"/>
  <c r="W11" i="1"/>
  <c r="V11" i="1"/>
  <c r="W19" i="1"/>
  <c r="V19" i="1"/>
  <c r="W27" i="1"/>
  <c r="V27" i="1"/>
  <c r="W35" i="1"/>
  <c r="V35" i="1"/>
  <c r="W43" i="1"/>
  <c r="V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U139" i="1"/>
  <c r="U147" i="1"/>
  <c r="V124" i="1"/>
  <c r="Z124" i="1" s="1"/>
  <c r="V107" i="1"/>
  <c r="V98" i="1"/>
  <c r="V79" i="1"/>
  <c r="V67" i="1"/>
  <c r="W26" i="1"/>
  <c r="W122" i="1"/>
  <c r="W6" i="1"/>
  <c r="V6" i="1"/>
  <c r="W14" i="1"/>
  <c r="V14" i="1"/>
  <c r="W22" i="1"/>
  <c r="V22" i="1"/>
  <c r="W30" i="1"/>
  <c r="V30" i="1"/>
  <c r="W38" i="1"/>
  <c r="V38" i="1"/>
  <c r="W46" i="1"/>
  <c r="V46" i="1"/>
  <c r="W54" i="1"/>
  <c r="V54" i="1"/>
  <c r="W62" i="1"/>
  <c r="V62" i="1"/>
  <c r="W70" i="1"/>
  <c r="V70" i="1"/>
  <c r="W78" i="1"/>
  <c r="V78" i="1"/>
  <c r="W86" i="1"/>
  <c r="V86" i="1"/>
  <c r="W94" i="1"/>
  <c r="W102" i="1"/>
  <c r="W110" i="1"/>
  <c r="W118" i="1"/>
  <c r="W126" i="1"/>
  <c r="W134" i="1"/>
  <c r="W142" i="1"/>
  <c r="W150" i="1"/>
  <c r="U132" i="1"/>
  <c r="U140" i="1"/>
  <c r="U148" i="1"/>
  <c r="V147" i="1"/>
  <c r="V139" i="1"/>
  <c r="V131" i="1"/>
  <c r="V123" i="1"/>
  <c r="V115" i="1"/>
  <c r="V88" i="1"/>
  <c r="V66" i="1"/>
  <c r="V55" i="1"/>
  <c r="V39" i="1"/>
  <c r="Z39" i="1" s="1"/>
  <c r="V7" i="1"/>
  <c r="Z7" i="1" s="1"/>
  <c r="W28" i="1"/>
  <c r="W9" i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37" i="1"/>
  <c r="W145" i="1"/>
  <c r="U133" i="1"/>
  <c r="U141" i="1"/>
  <c r="U149" i="1"/>
  <c r="V130" i="1"/>
  <c r="Z130" i="1" s="1"/>
  <c r="V105" i="1"/>
  <c r="V96" i="1"/>
  <c r="V87" i="1"/>
  <c r="V75" i="1"/>
  <c r="V65" i="1"/>
  <c r="V33" i="1"/>
  <c r="Z33" i="1" s="1"/>
  <c r="W2" i="1"/>
  <c r="W34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Z148" i="1" l="1"/>
  <c r="Z55" i="1"/>
  <c r="Z75" i="1"/>
  <c r="Z131" i="1"/>
  <c r="AN4" i="1"/>
  <c r="AA150" i="1"/>
  <c r="AN126" i="1"/>
  <c r="AP126" i="1" s="1"/>
  <c r="AN149" i="1"/>
  <c r="AS149" i="1" s="1"/>
  <c r="AN139" i="1"/>
  <c r="Z74" i="1"/>
  <c r="AB74" i="1" s="1"/>
  <c r="Z98" i="1"/>
  <c r="AB98" i="1" s="1"/>
  <c r="AS132" i="1"/>
  <c r="AP132" i="1"/>
  <c r="AS128" i="1"/>
  <c r="AP128" i="1"/>
  <c r="AN120" i="1"/>
  <c r="L152" i="1"/>
  <c r="K152" i="1"/>
  <c r="AS141" i="1"/>
  <c r="AP141" i="1"/>
  <c r="AS148" i="1"/>
  <c r="AP148" i="1"/>
  <c r="AN108" i="1"/>
  <c r="AS135" i="1"/>
  <c r="AP135" i="1"/>
  <c r="Z60" i="1"/>
  <c r="AB60" i="1" s="1"/>
  <c r="Z92" i="1"/>
  <c r="AB92" i="1" s="1"/>
  <c r="AA132" i="1"/>
  <c r="AB132" i="1" s="1"/>
  <c r="AS137" i="1"/>
  <c r="AP137" i="1"/>
  <c r="AS144" i="1"/>
  <c r="AP144" i="1"/>
  <c r="AN44" i="1"/>
  <c r="AN115" i="1"/>
  <c r="AA128" i="1"/>
  <c r="AA151" i="1"/>
  <c r="AS140" i="1"/>
  <c r="AP140" i="1"/>
  <c r="AN16" i="1"/>
  <c r="AN83" i="1"/>
  <c r="AS139" i="1"/>
  <c r="AP139" i="1"/>
  <c r="AN129" i="1"/>
  <c r="AS151" i="1"/>
  <c r="AP151" i="1"/>
  <c r="AN19" i="1"/>
  <c r="AN101" i="1"/>
  <c r="AS147" i="1"/>
  <c r="AP147" i="1"/>
  <c r="AN94" i="1"/>
  <c r="AS4" i="1"/>
  <c r="AP4" i="1"/>
  <c r="AN33" i="1"/>
  <c r="AS143" i="1"/>
  <c r="AP143" i="1"/>
  <c r="AS150" i="1"/>
  <c r="AP150" i="1"/>
  <c r="AN91" i="1"/>
  <c r="AA143" i="1"/>
  <c r="AN109" i="1"/>
  <c r="AN13" i="1"/>
  <c r="AN112" i="1"/>
  <c r="AN24" i="1"/>
  <c r="AN111" i="1"/>
  <c r="AN15" i="1"/>
  <c r="AA148" i="1"/>
  <c r="AB148" i="1" s="1"/>
  <c r="AN97" i="1"/>
  <c r="AN88" i="1"/>
  <c r="AN12" i="1"/>
  <c r="AN74" i="1"/>
  <c r="Z82" i="1"/>
  <c r="AN77" i="1"/>
  <c r="AN110" i="1"/>
  <c r="AN80" i="1"/>
  <c r="AN70" i="1"/>
  <c r="AN79" i="1"/>
  <c r="AN54" i="1"/>
  <c r="AN69" i="1"/>
  <c r="AN26" i="1"/>
  <c r="AN76" i="1"/>
  <c r="AN34" i="1"/>
  <c r="AN59" i="1"/>
  <c r="AN62" i="1"/>
  <c r="AN65" i="1"/>
  <c r="AN6" i="1"/>
  <c r="AN56" i="1"/>
  <c r="AN51" i="1"/>
  <c r="AN37" i="1"/>
  <c r="AN48" i="1"/>
  <c r="AN123" i="1"/>
  <c r="AN47" i="1"/>
  <c r="AN133" i="1"/>
  <c r="AN105" i="1"/>
  <c r="AN73" i="1"/>
  <c r="AN41" i="1"/>
  <c r="AN9" i="1"/>
  <c r="AN22" i="1"/>
  <c r="AN5" i="1"/>
  <c r="AN136" i="1"/>
  <c r="AN116" i="1"/>
  <c r="AN84" i="1"/>
  <c r="AN52" i="1"/>
  <c r="AN20" i="1"/>
  <c r="AN50" i="1"/>
  <c r="AN119" i="1"/>
  <c r="AN87" i="1"/>
  <c r="AN55" i="1"/>
  <c r="AN23" i="1"/>
  <c r="AN42" i="1"/>
  <c r="Z15" i="1"/>
  <c r="AB15" i="1" s="1"/>
  <c r="AN134" i="1"/>
  <c r="AN14" i="1"/>
  <c r="AN30" i="1"/>
  <c r="AN38" i="1"/>
  <c r="Z66" i="1"/>
  <c r="AB66" i="1" s="1"/>
  <c r="Z144" i="1"/>
  <c r="AB144" i="1" s="1"/>
  <c r="Z135" i="1"/>
  <c r="Z103" i="1"/>
  <c r="AB103" i="1" s="1"/>
  <c r="AN145" i="1"/>
  <c r="AN125" i="1"/>
  <c r="AN93" i="1"/>
  <c r="AN61" i="1"/>
  <c r="AN29" i="1"/>
  <c r="AN114" i="1"/>
  <c r="AN90" i="1"/>
  <c r="AN104" i="1"/>
  <c r="AN72" i="1"/>
  <c r="AN40" i="1"/>
  <c r="AN8" i="1"/>
  <c r="AN107" i="1"/>
  <c r="AN75" i="1"/>
  <c r="AN43" i="1"/>
  <c r="AN11" i="1"/>
  <c r="AN10" i="1"/>
  <c r="AN27" i="1"/>
  <c r="Z23" i="1"/>
  <c r="AB23" i="1" s="1"/>
  <c r="AA141" i="1"/>
  <c r="AN121" i="1"/>
  <c r="AN89" i="1"/>
  <c r="AN57" i="1"/>
  <c r="AN25" i="1"/>
  <c r="AN98" i="1"/>
  <c r="AN78" i="1"/>
  <c r="AN100" i="1"/>
  <c r="AN68" i="1"/>
  <c r="AN36" i="1"/>
  <c r="AN3" i="1"/>
  <c r="AN103" i="1"/>
  <c r="AN71" i="1"/>
  <c r="AN39" i="1"/>
  <c r="AN7" i="1"/>
  <c r="AN122" i="1"/>
  <c r="AN146" i="1"/>
  <c r="AN45" i="1"/>
  <c r="AN18" i="1"/>
  <c r="Z115" i="1"/>
  <c r="AB115" i="1" s="1"/>
  <c r="AA140" i="1"/>
  <c r="AB140" i="1" s="1"/>
  <c r="AA137" i="1"/>
  <c r="AN117" i="1"/>
  <c r="AN85" i="1"/>
  <c r="AN53" i="1"/>
  <c r="AN21" i="1"/>
  <c r="AN82" i="1"/>
  <c r="AN66" i="1"/>
  <c r="AN96" i="1"/>
  <c r="AN64" i="1"/>
  <c r="AN32" i="1"/>
  <c r="AN2" i="1"/>
  <c r="AN131" i="1"/>
  <c r="AN99" i="1"/>
  <c r="AN67" i="1"/>
  <c r="AN35" i="1"/>
  <c r="AN130" i="1"/>
  <c r="AN102" i="1"/>
  <c r="AN142" i="1"/>
  <c r="Z87" i="1"/>
  <c r="AB87" i="1" s="1"/>
  <c r="Z123" i="1"/>
  <c r="AB123" i="1" s="1"/>
  <c r="Z79" i="1"/>
  <c r="AB79" i="1" s="1"/>
  <c r="AN113" i="1"/>
  <c r="AN81" i="1"/>
  <c r="AN49" i="1"/>
  <c r="AN17" i="1"/>
  <c r="AN58" i="1"/>
  <c r="AN46" i="1"/>
  <c r="AN124" i="1"/>
  <c r="AN92" i="1"/>
  <c r="AN60" i="1"/>
  <c r="AN28" i="1"/>
  <c r="AN106" i="1"/>
  <c r="AN127" i="1"/>
  <c r="AN95" i="1"/>
  <c r="AN63" i="1"/>
  <c r="AN31" i="1"/>
  <c r="AN118" i="1"/>
  <c r="AN86" i="1"/>
  <c r="AN138" i="1"/>
  <c r="Z101" i="1"/>
  <c r="AB101" i="1" s="1"/>
  <c r="Z69" i="1"/>
  <c r="AB69" i="1" s="1"/>
  <c r="Z37" i="1"/>
  <c r="Z5" i="1"/>
  <c r="AB5" i="1" s="1"/>
  <c r="Z65" i="1"/>
  <c r="AB65" i="1" s="1"/>
  <c r="Z88" i="1"/>
  <c r="AB88" i="1" s="1"/>
  <c r="Z10" i="1"/>
  <c r="AB10" i="1" s="1"/>
  <c r="Z85" i="1"/>
  <c r="AB85" i="1" s="1"/>
  <c r="Z53" i="1"/>
  <c r="AB53" i="1" s="1"/>
  <c r="Z21" i="1"/>
  <c r="AB21" i="1" s="1"/>
  <c r="Z96" i="1"/>
  <c r="AB96" i="1" s="1"/>
  <c r="Z125" i="1"/>
  <c r="AB125" i="1" s="1"/>
  <c r="Z107" i="1"/>
  <c r="AB107" i="1" s="1"/>
  <c r="Z71" i="1"/>
  <c r="AB71" i="1" s="1"/>
  <c r="Z67" i="1"/>
  <c r="AB67" i="1" s="1"/>
  <c r="Z12" i="1"/>
  <c r="AB12" i="1" s="1"/>
  <c r="Z134" i="1"/>
  <c r="AB134" i="1" s="1"/>
  <c r="Z102" i="1"/>
  <c r="AB102" i="1" s="1"/>
  <c r="Z42" i="1"/>
  <c r="Z86" i="1"/>
  <c r="AB86" i="1" s="1"/>
  <c r="Z54" i="1"/>
  <c r="AB54" i="1" s="1"/>
  <c r="Z22" i="1"/>
  <c r="AB22" i="1" s="1"/>
  <c r="Z27" i="1"/>
  <c r="AB27" i="1" s="1"/>
  <c r="Z47" i="1"/>
  <c r="Z59" i="1"/>
  <c r="AB59" i="1" s="1"/>
  <c r="Z105" i="1"/>
  <c r="AB105" i="1" s="1"/>
  <c r="Z133" i="1"/>
  <c r="AB133" i="1" s="1"/>
  <c r="Z111" i="1"/>
  <c r="AB111" i="1" s="1"/>
  <c r="AB42" i="1"/>
  <c r="Z70" i="1"/>
  <c r="AB70" i="1" s="1"/>
  <c r="Z38" i="1"/>
  <c r="AB38" i="1" s="1"/>
  <c r="Z6" i="1"/>
  <c r="AB6" i="1" s="1"/>
  <c r="Z43" i="1"/>
  <c r="AB43" i="1" s="1"/>
  <c r="Z11" i="1"/>
  <c r="AB11" i="1" s="1"/>
  <c r="Z48" i="1"/>
  <c r="AB48" i="1" s="1"/>
  <c r="Z16" i="1"/>
  <c r="AB16" i="1" s="1"/>
  <c r="Z121" i="1"/>
  <c r="AB121" i="1" s="1"/>
  <c r="AB75" i="1"/>
  <c r="Z26" i="1"/>
  <c r="AB26" i="1" s="1"/>
  <c r="Z40" i="1"/>
  <c r="AB40" i="1" s="1"/>
  <c r="Z8" i="1"/>
  <c r="AB8" i="1" s="1"/>
  <c r="Z18" i="1"/>
  <c r="AB18" i="1" s="1"/>
  <c r="Z4" i="1"/>
  <c r="AB4" i="1" s="1"/>
  <c r="Z136" i="1"/>
  <c r="Z113" i="1"/>
  <c r="AB113" i="1" s="1"/>
  <c r="Z81" i="1"/>
  <c r="AB81" i="1" s="1"/>
  <c r="Z83" i="1"/>
  <c r="AB83" i="1" s="1"/>
  <c r="Z80" i="1"/>
  <c r="AB80" i="1" s="1"/>
  <c r="Z93" i="1"/>
  <c r="AB93" i="1" s="1"/>
  <c r="Z61" i="1"/>
  <c r="AB61" i="1" s="1"/>
  <c r="Z29" i="1"/>
  <c r="AB29" i="1" s="1"/>
  <c r="Z143" i="1"/>
  <c r="Z51" i="1"/>
  <c r="AB51" i="1" s="1"/>
  <c r="Z31" i="1"/>
  <c r="AB31" i="1" s="1"/>
  <c r="AB116" i="1"/>
  <c r="AB100" i="1"/>
  <c r="AB84" i="1"/>
  <c r="AB68" i="1"/>
  <c r="AB52" i="1"/>
  <c r="Z126" i="1"/>
  <c r="AB126" i="1" s="1"/>
  <c r="Z94" i="1"/>
  <c r="AB94" i="1" s="1"/>
  <c r="AB82" i="1"/>
  <c r="Z120" i="1"/>
  <c r="AB120" i="1" s="1"/>
  <c r="AB55" i="1"/>
  <c r="AB39" i="1"/>
  <c r="AB7" i="1"/>
  <c r="AB130" i="1"/>
  <c r="Z73" i="1"/>
  <c r="AB73" i="1" s="1"/>
  <c r="AB149" i="1"/>
  <c r="Z78" i="1"/>
  <c r="AB78" i="1" s="1"/>
  <c r="Z46" i="1"/>
  <c r="AB46" i="1" s="1"/>
  <c r="Z14" i="1"/>
  <c r="AB14" i="1" s="1"/>
  <c r="Z19" i="1"/>
  <c r="AB19" i="1" s="1"/>
  <c r="Z32" i="1"/>
  <c r="AB32" i="1" s="1"/>
  <c r="Z151" i="1"/>
  <c r="Z2" i="1"/>
  <c r="AB2" i="1" s="1"/>
  <c r="AB135" i="1"/>
  <c r="AB117" i="1"/>
  <c r="AB37" i="1"/>
  <c r="Z122" i="1"/>
  <c r="AB122" i="1" s="1"/>
  <c r="Z57" i="1"/>
  <c r="AB57" i="1" s="1"/>
  <c r="Z139" i="1"/>
  <c r="AB139" i="1" s="1"/>
  <c r="AB136" i="1"/>
  <c r="Z44" i="1"/>
  <c r="AB44" i="1" s="1"/>
  <c r="AB90" i="1"/>
  <c r="Z112" i="1"/>
  <c r="AB112" i="1" s="1"/>
  <c r="Z150" i="1"/>
  <c r="AB150" i="1" s="1"/>
  <c r="Z118" i="1"/>
  <c r="AB118" i="1" s="1"/>
  <c r="AB58" i="1"/>
  <c r="Z64" i="1"/>
  <c r="AB64" i="1" s="1"/>
  <c r="AB131" i="1"/>
  <c r="Z49" i="1"/>
  <c r="AB49" i="1" s="1"/>
  <c r="Z147" i="1"/>
  <c r="AB147" i="1" s="1"/>
  <c r="Z56" i="1"/>
  <c r="AB56" i="1" s="1"/>
  <c r="Z24" i="1"/>
  <c r="AB24" i="1" s="1"/>
  <c r="Z36" i="1"/>
  <c r="AB36" i="1" s="1"/>
  <c r="AB33" i="1"/>
  <c r="Z146" i="1"/>
  <c r="AB146" i="1" s="1"/>
  <c r="Z114" i="1"/>
  <c r="AB114" i="1" s="1"/>
  <c r="Z145" i="1"/>
  <c r="AB145" i="1" s="1"/>
  <c r="Z25" i="1"/>
  <c r="AB25" i="1" s="1"/>
  <c r="Z128" i="1"/>
  <c r="Z41" i="1"/>
  <c r="AB41" i="1" s="1"/>
  <c r="AB104" i="1"/>
  <c r="Z109" i="1"/>
  <c r="AB109" i="1" s="1"/>
  <c r="Z77" i="1"/>
  <c r="AB77" i="1" s="1"/>
  <c r="Z45" i="1"/>
  <c r="AB45" i="1" s="1"/>
  <c r="Z13" i="1"/>
  <c r="AB13" i="1" s="1"/>
  <c r="Z28" i="1"/>
  <c r="AB28" i="1" s="1"/>
  <c r="Z99" i="1"/>
  <c r="AB99" i="1" s="1"/>
  <c r="AB124" i="1"/>
  <c r="AB108" i="1"/>
  <c r="AB76" i="1"/>
  <c r="Z142" i="1"/>
  <c r="AB142" i="1" s="1"/>
  <c r="Z110" i="1"/>
  <c r="AB110" i="1" s="1"/>
  <c r="Z137" i="1"/>
  <c r="AB127" i="1"/>
  <c r="AB95" i="1"/>
  <c r="AB63" i="1"/>
  <c r="AB47" i="1"/>
  <c r="Z9" i="1"/>
  <c r="AB9" i="1" s="1"/>
  <c r="Z17" i="1"/>
  <c r="AB17" i="1" s="1"/>
  <c r="Z72" i="1"/>
  <c r="AB72" i="1" s="1"/>
  <c r="Z89" i="1"/>
  <c r="AB89" i="1" s="1"/>
  <c r="Z62" i="1"/>
  <c r="AB62" i="1" s="1"/>
  <c r="Z30" i="1"/>
  <c r="AB30" i="1" s="1"/>
  <c r="Z35" i="1"/>
  <c r="AB35" i="1" s="1"/>
  <c r="Z3" i="1"/>
  <c r="AB3" i="1" s="1"/>
  <c r="Z141" i="1"/>
  <c r="Z119" i="1"/>
  <c r="AB119" i="1" s="1"/>
  <c r="Z34" i="1"/>
  <c r="AB34" i="1" s="1"/>
  <c r="Z50" i="1"/>
  <c r="AB50" i="1" s="1"/>
  <c r="Z20" i="1"/>
  <c r="AB20" i="1" s="1"/>
  <c r="Z91" i="1"/>
  <c r="AB91" i="1" s="1"/>
  <c r="Z138" i="1"/>
  <c r="AB138" i="1" s="1"/>
  <c r="Z106" i="1"/>
  <c r="AB106" i="1" s="1"/>
  <c r="Z129" i="1"/>
  <c r="AB129" i="1" s="1"/>
  <c r="Z97" i="1"/>
  <c r="AB97" i="1" s="1"/>
  <c r="AB137" i="1" l="1"/>
  <c r="AS126" i="1"/>
  <c r="AP149" i="1"/>
  <c r="AB151" i="1"/>
  <c r="AB128" i="1"/>
  <c r="AG128" i="1" s="1"/>
  <c r="AI128" i="1" s="1"/>
  <c r="AS85" i="1"/>
  <c r="AP85" i="1"/>
  <c r="AS125" i="1"/>
  <c r="AP125" i="1"/>
  <c r="AS50" i="1"/>
  <c r="AP50" i="1"/>
  <c r="AS111" i="1"/>
  <c r="AP111" i="1"/>
  <c r="AS32" i="1"/>
  <c r="AP32" i="1"/>
  <c r="AS27" i="1"/>
  <c r="AP27" i="1"/>
  <c r="AS134" i="1"/>
  <c r="AP134" i="1"/>
  <c r="AS20" i="1"/>
  <c r="AP20" i="1"/>
  <c r="AS101" i="1"/>
  <c r="AP101" i="1"/>
  <c r="AS44" i="1"/>
  <c r="AP44" i="1"/>
  <c r="AB143" i="1"/>
  <c r="AH143" i="1" s="1"/>
  <c r="AJ143" i="1" s="1"/>
  <c r="AS127" i="1"/>
  <c r="AP127" i="1"/>
  <c r="AS17" i="1"/>
  <c r="AP17" i="1"/>
  <c r="AS102" i="1"/>
  <c r="AP102" i="1"/>
  <c r="AS64" i="1"/>
  <c r="AP64" i="1"/>
  <c r="AS39" i="1"/>
  <c r="AP39" i="1"/>
  <c r="AS98" i="1"/>
  <c r="AP98" i="1"/>
  <c r="AS10" i="1"/>
  <c r="AP10" i="1"/>
  <c r="AS104" i="1"/>
  <c r="AP104" i="1"/>
  <c r="AS52" i="1"/>
  <c r="AP52" i="1"/>
  <c r="AS73" i="1"/>
  <c r="AP73" i="1"/>
  <c r="AS56" i="1"/>
  <c r="AP56" i="1"/>
  <c r="AS69" i="1"/>
  <c r="AP69" i="1"/>
  <c r="AS74" i="1"/>
  <c r="AP74" i="1"/>
  <c r="AS112" i="1"/>
  <c r="AP112" i="1"/>
  <c r="AS19" i="1"/>
  <c r="AP19" i="1"/>
  <c r="AS83" i="1"/>
  <c r="AP83" i="1"/>
  <c r="AS120" i="1"/>
  <c r="AP120" i="1"/>
  <c r="AS37" i="1"/>
  <c r="AP37" i="1"/>
  <c r="AS58" i="1"/>
  <c r="AP58" i="1"/>
  <c r="AS78" i="1"/>
  <c r="AP78" i="1"/>
  <c r="AS41" i="1"/>
  <c r="AP41" i="1"/>
  <c r="AS49" i="1"/>
  <c r="AP49" i="1"/>
  <c r="AS96" i="1"/>
  <c r="AP96" i="1"/>
  <c r="AS25" i="1"/>
  <c r="AP25" i="1"/>
  <c r="AS90" i="1"/>
  <c r="AP90" i="1"/>
  <c r="AS84" i="1"/>
  <c r="AP84" i="1"/>
  <c r="AS105" i="1"/>
  <c r="AP105" i="1"/>
  <c r="AS6" i="1"/>
  <c r="AP6" i="1"/>
  <c r="AS54" i="1"/>
  <c r="AP54" i="1"/>
  <c r="AS12" i="1"/>
  <c r="AP12" i="1"/>
  <c r="AS13" i="1"/>
  <c r="AP13" i="1"/>
  <c r="AS33" i="1"/>
  <c r="AP33" i="1"/>
  <c r="AS16" i="1"/>
  <c r="AP16" i="1"/>
  <c r="AS108" i="1"/>
  <c r="AP108" i="1"/>
  <c r="AS2" i="1"/>
  <c r="AP2" i="1"/>
  <c r="AS40" i="1"/>
  <c r="AP40" i="1"/>
  <c r="AS9" i="1"/>
  <c r="AP9" i="1"/>
  <c r="AS142" i="1"/>
  <c r="AP142" i="1"/>
  <c r="AS145" i="1"/>
  <c r="AP145" i="1"/>
  <c r="AS24" i="1"/>
  <c r="AP24" i="1"/>
  <c r="AS106" i="1"/>
  <c r="AP106" i="1"/>
  <c r="AS130" i="1"/>
  <c r="AP130" i="1"/>
  <c r="AS71" i="1"/>
  <c r="AP71" i="1"/>
  <c r="AS11" i="1"/>
  <c r="AP11" i="1"/>
  <c r="AS42" i="1"/>
  <c r="AP42" i="1"/>
  <c r="AS138" i="1"/>
  <c r="AP138" i="1"/>
  <c r="AS28" i="1"/>
  <c r="AP28" i="1"/>
  <c r="AS81" i="1"/>
  <c r="AP81" i="1"/>
  <c r="AS35" i="1"/>
  <c r="AP35" i="1"/>
  <c r="AS66" i="1"/>
  <c r="AP66" i="1"/>
  <c r="AS103" i="1"/>
  <c r="AP103" i="1"/>
  <c r="AS57" i="1"/>
  <c r="AP57" i="1"/>
  <c r="AS43" i="1"/>
  <c r="AP43" i="1"/>
  <c r="AS114" i="1"/>
  <c r="AP114" i="1"/>
  <c r="AS23" i="1"/>
  <c r="AP23" i="1"/>
  <c r="AS116" i="1"/>
  <c r="AP116" i="1"/>
  <c r="AS133" i="1"/>
  <c r="AP133" i="1"/>
  <c r="AS65" i="1"/>
  <c r="AP65" i="1"/>
  <c r="AS79" i="1"/>
  <c r="AP79" i="1"/>
  <c r="AS88" i="1"/>
  <c r="AP88" i="1"/>
  <c r="AS109" i="1"/>
  <c r="AP109" i="1"/>
  <c r="AS63" i="1"/>
  <c r="AP63" i="1"/>
  <c r="AS100" i="1"/>
  <c r="AP100" i="1"/>
  <c r="AS77" i="1"/>
  <c r="AP77" i="1"/>
  <c r="AS7" i="1"/>
  <c r="AP7" i="1"/>
  <c r="AS26" i="1"/>
  <c r="AP26" i="1"/>
  <c r="AS86" i="1"/>
  <c r="AP86" i="1"/>
  <c r="AS67" i="1"/>
  <c r="AP67" i="1"/>
  <c r="AS3" i="1"/>
  <c r="AP3" i="1"/>
  <c r="AS29" i="1"/>
  <c r="AP29" i="1"/>
  <c r="AS136" i="1"/>
  <c r="AP136" i="1"/>
  <c r="AS70" i="1"/>
  <c r="AP70" i="1"/>
  <c r="AS129" i="1"/>
  <c r="AP129" i="1"/>
  <c r="AS46" i="1"/>
  <c r="AP46" i="1"/>
  <c r="AS122" i="1"/>
  <c r="AP122" i="1"/>
  <c r="AS14" i="1"/>
  <c r="AP14" i="1"/>
  <c r="AS76" i="1"/>
  <c r="AP76" i="1"/>
  <c r="AS95" i="1"/>
  <c r="AP95" i="1"/>
  <c r="AS117" i="1"/>
  <c r="AP117" i="1"/>
  <c r="AS72" i="1"/>
  <c r="AP72" i="1"/>
  <c r="AS51" i="1"/>
  <c r="AP51" i="1"/>
  <c r="AS60" i="1"/>
  <c r="AP60" i="1"/>
  <c r="AS113" i="1"/>
  <c r="AP113" i="1"/>
  <c r="AS82" i="1"/>
  <c r="AP82" i="1"/>
  <c r="AS18" i="1"/>
  <c r="AP18" i="1"/>
  <c r="AS89" i="1"/>
  <c r="AP89" i="1"/>
  <c r="AS75" i="1"/>
  <c r="AP75" i="1"/>
  <c r="AS55" i="1"/>
  <c r="AP55" i="1"/>
  <c r="AS47" i="1"/>
  <c r="AP47" i="1"/>
  <c r="AS62" i="1"/>
  <c r="AP62" i="1"/>
  <c r="AS97" i="1"/>
  <c r="AP97" i="1"/>
  <c r="AS118" i="1"/>
  <c r="AP118" i="1"/>
  <c r="AS92" i="1"/>
  <c r="AP92" i="1"/>
  <c r="AS99" i="1"/>
  <c r="AP99" i="1"/>
  <c r="AS21" i="1"/>
  <c r="AP21" i="1"/>
  <c r="AS45" i="1"/>
  <c r="AP45" i="1"/>
  <c r="AS36" i="1"/>
  <c r="AP36" i="1"/>
  <c r="AS121" i="1"/>
  <c r="AP121" i="1"/>
  <c r="AS107" i="1"/>
  <c r="AP107" i="1"/>
  <c r="AS61" i="1"/>
  <c r="AP61" i="1"/>
  <c r="AS38" i="1"/>
  <c r="AP38" i="1"/>
  <c r="AS87" i="1"/>
  <c r="AP87" i="1"/>
  <c r="AS5" i="1"/>
  <c r="AP5" i="1"/>
  <c r="AS123" i="1"/>
  <c r="AP123" i="1"/>
  <c r="AS59" i="1"/>
  <c r="AP59" i="1"/>
  <c r="AS80" i="1"/>
  <c r="AP80" i="1"/>
  <c r="AS91" i="1"/>
  <c r="AP91" i="1"/>
  <c r="AS94" i="1"/>
  <c r="AP94" i="1"/>
  <c r="AS31" i="1"/>
  <c r="AP31" i="1"/>
  <c r="AS124" i="1"/>
  <c r="AP124" i="1"/>
  <c r="AS131" i="1"/>
  <c r="AP131" i="1"/>
  <c r="AS53" i="1"/>
  <c r="AP53" i="1"/>
  <c r="AS146" i="1"/>
  <c r="AP146" i="1"/>
  <c r="AS68" i="1"/>
  <c r="AP68" i="1"/>
  <c r="AS8" i="1"/>
  <c r="AP8" i="1"/>
  <c r="AS93" i="1"/>
  <c r="AP93" i="1"/>
  <c r="AS30" i="1"/>
  <c r="AP30" i="1"/>
  <c r="AS119" i="1"/>
  <c r="AP119" i="1"/>
  <c r="AS22" i="1"/>
  <c r="AP22" i="1"/>
  <c r="AS48" i="1"/>
  <c r="AP48" i="1"/>
  <c r="AS34" i="1"/>
  <c r="AP34" i="1"/>
  <c r="AS110" i="1"/>
  <c r="AP110" i="1"/>
  <c r="AS15" i="1"/>
  <c r="AP15" i="1"/>
  <c r="AS115" i="1"/>
  <c r="AP115" i="1"/>
  <c r="AG18" i="1"/>
  <c r="AI18" i="1" s="1"/>
  <c r="AW18" i="1" s="1"/>
  <c r="AH18" i="1"/>
  <c r="AJ18" i="1" s="1"/>
  <c r="AH67" i="1"/>
  <c r="AJ67" i="1" s="1"/>
  <c r="AG67" i="1"/>
  <c r="AI67" i="1" s="1"/>
  <c r="AH10" i="1"/>
  <c r="AJ10" i="1" s="1"/>
  <c r="AG10" i="1"/>
  <c r="AI10" i="1" s="1"/>
  <c r="AH66" i="1"/>
  <c r="AJ66" i="1" s="1"/>
  <c r="AG66" i="1"/>
  <c r="AI66" i="1" s="1"/>
  <c r="AH93" i="1"/>
  <c r="AJ93" i="1" s="1"/>
  <c r="AL93" i="1" s="1"/>
  <c r="AG93" i="1"/>
  <c r="AI93" i="1" s="1"/>
  <c r="AH31" i="1"/>
  <c r="AJ31" i="1" s="1"/>
  <c r="AG31" i="1"/>
  <c r="AI31" i="1" s="1"/>
  <c r="AG120" i="1"/>
  <c r="AI120" i="1" s="1"/>
  <c r="AH120" i="1"/>
  <c r="AJ120" i="1" s="1"/>
  <c r="AG32" i="1"/>
  <c r="AI32" i="1" s="1"/>
  <c r="AH32" i="1"/>
  <c r="AJ32" i="1" s="1"/>
  <c r="AH41" i="1"/>
  <c r="AJ41" i="1" s="1"/>
  <c r="AL41" i="1" s="1"/>
  <c r="AG41" i="1"/>
  <c r="AI41" i="1" s="1"/>
  <c r="AH136" i="1"/>
  <c r="AJ136" i="1" s="1"/>
  <c r="AG136" i="1"/>
  <c r="AI136" i="1" s="1"/>
  <c r="AG38" i="1"/>
  <c r="AI38" i="1" s="1"/>
  <c r="AH38" i="1"/>
  <c r="AJ38" i="1" s="1"/>
  <c r="AG97" i="1"/>
  <c r="AI97" i="1" s="1"/>
  <c r="AH97" i="1"/>
  <c r="AJ97" i="1" s="1"/>
  <c r="AG61" i="1"/>
  <c r="AI61" i="1" s="1"/>
  <c r="AW61" i="1" s="1"/>
  <c r="AH61" i="1"/>
  <c r="AJ61" i="1" s="1"/>
  <c r="AB141" i="1"/>
  <c r="AG86" i="1"/>
  <c r="AI86" i="1" s="1"/>
  <c r="AH86" i="1"/>
  <c r="AJ86" i="1" s="1"/>
  <c r="AG111" i="1"/>
  <c r="AI111" i="1" s="1"/>
  <c r="AH111" i="1"/>
  <c r="AJ111" i="1" s="1"/>
  <c r="AH76" i="1"/>
  <c r="AJ76" i="1" s="1"/>
  <c r="AG76" i="1"/>
  <c r="AI76" i="1" s="1"/>
  <c r="AW76" i="1" s="1"/>
  <c r="AH45" i="1"/>
  <c r="AJ45" i="1" s="1"/>
  <c r="AG45" i="1"/>
  <c r="AI45" i="1" s="1"/>
  <c r="AH128" i="1"/>
  <c r="AJ128" i="1" s="1"/>
  <c r="AG33" i="1"/>
  <c r="AI33" i="1" s="1"/>
  <c r="AH33" i="1"/>
  <c r="AJ33" i="1" s="1"/>
  <c r="AG139" i="1"/>
  <c r="AI139" i="1" s="1"/>
  <c r="AH139" i="1"/>
  <c r="AJ139" i="1" s="1"/>
  <c r="AH53" i="1"/>
  <c r="AJ53" i="1" s="1"/>
  <c r="AG53" i="1"/>
  <c r="AI53" i="1" s="1"/>
  <c r="AG140" i="1"/>
  <c r="AI140" i="1" s="1"/>
  <c r="AH140" i="1"/>
  <c r="AJ140" i="1" s="1"/>
  <c r="AH130" i="1"/>
  <c r="AJ130" i="1" s="1"/>
  <c r="AG130" i="1"/>
  <c r="AI130" i="1" s="1"/>
  <c r="AG82" i="1"/>
  <c r="AI82" i="1" s="1"/>
  <c r="AH82" i="1"/>
  <c r="AJ82" i="1" s="1"/>
  <c r="AH116" i="1"/>
  <c r="AJ116" i="1" s="1"/>
  <c r="AG116" i="1"/>
  <c r="AI116" i="1" s="1"/>
  <c r="AG148" i="1"/>
  <c r="AI148" i="1" s="1"/>
  <c r="AH148" i="1"/>
  <c r="AJ148" i="1" s="1"/>
  <c r="AH121" i="1"/>
  <c r="AJ121" i="1" s="1"/>
  <c r="AG121" i="1"/>
  <c r="AI121" i="1" s="1"/>
  <c r="AH70" i="1"/>
  <c r="AJ70" i="1" s="1"/>
  <c r="AG70" i="1"/>
  <c r="AI70" i="1" s="1"/>
  <c r="AW70" i="1" s="1"/>
  <c r="AG22" i="1"/>
  <c r="AI22" i="1" s="1"/>
  <c r="AH22" i="1"/>
  <c r="AJ22" i="1" s="1"/>
  <c r="AG71" i="1"/>
  <c r="AI71" i="1" s="1"/>
  <c r="AH71" i="1"/>
  <c r="AJ71" i="1" s="1"/>
  <c r="AH88" i="1"/>
  <c r="AJ88" i="1" s="1"/>
  <c r="AG88" i="1"/>
  <c r="AI88" i="1" s="1"/>
  <c r="AG95" i="1"/>
  <c r="AI95" i="1" s="1"/>
  <c r="AH95" i="1"/>
  <c r="AJ95" i="1" s="1"/>
  <c r="AG151" i="1"/>
  <c r="AI151" i="1" s="1"/>
  <c r="AH151" i="1"/>
  <c r="AJ151" i="1" s="1"/>
  <c r="AG77" i="1"/>
  <c r="AI77" i="1" s="1"/>
  <c r="AH77" i="1"/>
  <c r="AJ77" i="1" s="1"/>
  <c r="AG36" i="1"/>
  <c r="AI36" i="1" s="1"/>
  <c r="AH36" i="1"/>
  <c r="AJ36" i="1" s="1"/>
  <c r="AG83" i="1"/>
  <c r="AI83" i="1" s="1"/>
  <c r="AH83" i="1"/>
  <c r="AJ83" i="1" s="1"/>
  <c r="AH105" i="1"/>
  <c r="AJ105" i="1" s="1"/>
  <c r="AG105" i="1"/>
  <c r="AI105" i="1" s="1"/>
  <c r="AG129" i="1"/>
  <c r="AI129" i="1" s="1"/>
  <c r="AH129" i="1"/>
  <c r="AJ129" i="1" s="1"/>
  <c r="AH35" i="1"/>
  <c r="AJ35" i="1" s="1"/>
  <c r="AG35" i="1"/>
  <c r="AI35" i="1" s="1"/>
  <c r="AG15" i="1"/>
  <c r="AI15" i="1" s="1"/>
  <c r="AH15" i="1"/>
  <c r="AJ15" i="1" s="1"/>
  <c r="AH137" i="1"/>
  <c r="AJ137" i="1" s="1"/>
  <c r="AG137" i="1"/>
  <c r="AI137" i="1" s="1"/>
  <c r="AH108" i="1"/>
  <c r="AJ108" i="1" s="1"/>
  <c r="AG108" i="1"/>
  <c r="AI108" i="1" s="1"/>
  <c r="AH109" i="1"/>
  <c r="AJ109" i="1" s="1"/>
  <c r="AG109" i="1"/>
  <c r="AI109" i="1" s="1"/>
  <c r="AG145" i="1"/>
  <c r="AI145" i="1" s="1"/>
  <c r="AH145" i="1"/>
  <c r="AJ145" i="1" s="1"/>
  <c r="AG131" i="1"/>
  <c r="AI131" i="1" s="1"/>
  <c r="AH131" i="1"/>
  <c r="AJ131" i="1" s="1"/>
  <c r="AH80" i="1"/>
  <c r="AJ80" i="1" s="1"/>
  <c r="AG80" i="1"/>
  <c r="AI80" i="1" s="1"/>
  <c r="AH57" i="1"/>
  <c r="AJ57" i="1" s="1"/>
  <c r="AG57" i="1"/>
  <c r="AI57" i="1" s="1"/>
  <c r="AG85" i="1"/>
  <c r="AI85" i="1" s="1"/>
  <c r="AH85" i="1"/>
  <c r="AJ85" i="1" s="1"/>
  <c r="AH23" i="1"/>
  <c r="AJ23" i="1" s="1"/>
  <c r="AG23" i="1"/>
  <c r="AI23" i="1" s="1"/>
  <c r="AH126" i="1"/>
  <c r="AJ126" i="1" s="1"/>
  <c r="AG126" i="1"/>
  <c r="AI126" i="1" s="1"/>
  <c r="AG51" i="1"/>
  <c r="AI51" i="1" s="1"/>
  <c r="AH51" i="1"/>
  <c r="AJ51" i="1" s="1"/>
  <c r="AH81" i="1"/>
  <c r="AJ81" i="1" s="1"/>
  <c r="AG81" i="1"/>
  <c r="AI81" i="1" s="1"/>
  <c r="AW81" i="1" s="1"/>
  <c r="AH40" i="1"/>
  <c r="AJ40" i="1" s="1"/>
  <c r="AG40" i="1"/>
  <c r="AI40" i="1" s="1"/>
  <c r="AG17" i="1"/>
  <c r="AI17" i="1" s="1"/>
  <c r="AH17" i="1"/>
  <c r="AJ17" i="1" s="1"/>
  <c r="AG19" i="1"/>
  <c r="AI19" i="1" s="1"/>
  <c r="AH19" i="1"/>
  <c r="AJ19" i="1" s="1"/>
  <c r="AH123" i="1"/>
  <c r="AJ123" i="1" s="1"/>
  <c r="AG123" i="1"/>
  <c r="AI123" i="1" s="1"/>
  <c r="AW123" i="1" s="1"/>
  <c r="AG127" i="1"/>
  <c r="AI127" i="1" s="1"/>
  <c r="AH127" i="1"/>
  <c r="AJ127" i="1" s="1"/>
  <c r="AH115" i="1"/>
  <c r="AJ115" i="1" s="1"/>
  <c r="AG115" i="1"/>
  <c r="AI115" i="1" s="1"/>
  <c r="AG42" i="1"/>
  <c r="AI42" i="1" s="1"/>
  <c r="AH42" i="1"/>
  <c r="AJ42" i="1" s="1"/>
  <c r="AH124" i="1"/>
  <c r="AJ124" i="1" s="1"/>
  <c r="AG124" i="1"/>
  <c r="AI124" i="1" s="1"/>
  <c r="AW124" i="1" s="1"/>
  <c r="AH102" i="1"/>
  <c r="AJ102" i="1" s="1"/>
  <c r="AG102" i="1"/>
  <c r="AI102" i="1" s="1"/>
  <c r="AH114" i="1"/>
  <c r="AJ114" i="1" s="1"/>
  <c r="AG114" i="1"/>
  <c r="AI114" i="1" s="1"/>
  <c r="AG56" i="1"/>
  <c r="AI56" i="1" s="1"/>
  <c r="AH56" i="1"/>
  <c r="AJ56" i="1" s="1"/>
  <c r="AG64" i="1"/>
  <c r="AI64" i="1" s="1"/>
  <c r="AH64" i="1"/>
  <c r="AJ64" i="1" s="1"/>
  <c r="AH96" i="1"/>
  <c r="AJ96" i="1" s="1"/>
  <c r="AG96" i="1"/>
  <c r="AI96" i="1" s="1"/>
  <c r="AH101" i="1"/>
  <c r="AJ101" i="1" s="1"/>
  <c r="AG101" i="1"/>
  <c r="AI101" i="1" s="1"/>
  <c r="AG14" i="1"/>
  <c r="AI14" i="1" s="1"/>
  <c r="AH14" i="1"/>
  <c r="AJ14" i="1" s="1"/>
  <c r="AG39" i="1"/>
  <c r="AI39" i="1" s="1"/>
  <c r="AH39" i="1"/>
  <c r="AJ39" i="1" s="1"/>
  <c r="AH6" i="1"/>
  <c r="AJ6" i="1" s="1"/>
  <c r="AG6" i="1"/>
  <c r="AI6" i="1" s="1"/>
  <c r="AG113" i="1"/>
  <c r="AI113" i="1" s="1"/>
  <c r="AH113" i="1"/>
  <c r="AJ113" i="1" s="1"/>
  <c r="AG26" i="1"/>
  <c r="AI26" i="1" s="1"/>
  <c r="AH26" i="1"/>
  <c r="AJ26" i="1" s="1"/>
  <c r="AG133" i="1"/>
  <c r="AI133" i="1" s="1"/>
  <c r="AH133" i="1"/>
  <c r="AJ133" i="1" s="1"/>
  <c r="AH60" i="1"/>
  <c r="AJ60" i="1" s="1"/>
  <c r="AG60" i="1"/>
  <c r="AI60" i="1" s="1"/>
  <c r="AH73" i="1"/>
  <c r="AJ73" i="1" s="1"/>
  <c r="AG73" i="1"/>
  <c r="AI73" i="1" s="1"/>
  <c r="AG100" i="1"/>
  <c r="AI100" i="1" s="1"/>
  <c r="AH100" i="1"/>
  <c r="AJ100" i="1" s="1"/>
  <c r="AH3" i="1"/>
  <c r="AJ3" i="1" s="1"/>
  <c r="AG3" i="1"/>
  <c r="AI3" i="1" s="1"/>
  <c r="AW3" i="1" s="1"/>
  <c r="AG94" i="1"/>
  <c r="AI94" i="1" s="1"/>
  <c r="AH94" i="1"/>
  <c r="AJ94" i="1" s="1"/>
  <c r="AG107" i="1"/>
  <c r="AI107" i="1" s="1"/>
  <c r="AH107" i="1"/>
  <c r="AJ107" i="1" s="1"/>
  <c r="AG125" i="1"/>
  <c r="AI125" i="1" s="1"/>
  <c r="AH125" i="1"/>
  <c r="AJ125" i="1" s="1"/>
  <c r="AH138" i="1"/>
  <c r="AJ138" i="1" s="1"/>
  <c r="AG138" i="1"/>
  <c r="AI138" i="1" s="1"/>
  <c r="AW138" i="1" s="1"/>
  <c r="AH20" i="1"/>
  <c r="AJ20" i="1" s="1"/>
  <c r="AG20" i="1"/>
  <c r="AI20" i="1" s="1"/>
  <c r="AH62" i="1"/>
  <c r="AJ62" i="1" s="1"/>
  <c r="AG62" i="1"/>
  <c r="AI62" i="1" s="1"/>
  <c r="AG47" i="1"/>
  <c r="AI47" i="1" s="1"/>
  <c r="AH47" i="1"/>
  <c r="AJ47" i="1" s="1"/>
  <c r="AH110" i="1"/>
  <c r="AJ110" i="1" s="1"/>
  <c r="AG110" i="1"/>
  <c r="AI110" i="1" s="1"/>
  <c r="AW110" i="1" s="1"/>
  <c r="AH99" i="1"/>
  <c r="AJ99" i="1" s="1"/>
  <c r="AG99" i="1"/>
  <c r="AI99" i="1" s="1"/>
  <c r="AH104" i="1"/>
  <c r="AJ104" i="1" s="1"/>
  <c r="AG104" i="1"/>
  <c r="AI104" i="1" s="1"/>
  <c r="AG146" i="1"/>
  <c r="AI146" i="1" s="1"/>
  <c r="AH146" i="1"/>
  <c r="AJ146" i="1" s="1"/>
  <c r="AG147" i="1"/>
  <c r="AI147" i="1" s="1"/>
  <c r="AH147" i="1"/>
  <c r="AJ147" i="1" s="1"/>
  <c r="AG58" i="1"/>
  <c r="AI58" i="1" s="1"/>
  <c r="AH58" i="1"/>
  <c r="AJ58" i="1" s="1"/>
  <c r="AG112" i="1"/>
  <c r="AI112" i="1" s="1"/>
  <c r="AH112" i="1"/>
  <c r="AJ112" i="1" s="1"/>
  <c r="AH132" i="1"/>
  <c r="AJ132" i="1" s="1"/>
  <c r="AG132" i="1"/>
  <c r="AI132" i="1" s="1"/>
  <c r="AG117" i="1"/>
  <c r="AI117" i="1" s="1"/>
  <c r="AH117" i="1"/>
  <c r="AJ117" i="1" s="1"/>
  <c r="AG46" i="1"/>
  <c r="AI46" i="1" s="1"/>
  <c r="AH46" i="1"/>
  <c r="AJ46" i="1" s="1"/>
  <c r="AH55" i="1"/>
  <c r="AJ55" i="1" s="1"/>
  <c r="AG55" i="1"/>
  <c r="AI55" i="1" s="1"/>
  <c r="AH52" i="1"/>
  <c r="AJ52" i="1" s="1"/>
  <c r="AG52" i="1"/>
  <c r="AI52" i="1" s="1"/>
  <c r="AH144" i="1"/>
  <c r="AJ144" i="1" s="1"/>
  <c r="AG144" i="1"/>
  <c r="AI144" i="1" s="1"/>
  <c r="AW144" i="1" s="1"/>
  <c r="AG43" i="1"/>
  <c r="AI43" i="1" s="1"/>
  <c r="AH43" i="1"/>
  <c r="AJ43" i="1" s="1"/>
  <c r="AG13" i="1"/>
  <c r="AI13" i="1" s="1"/>
  <c r="AH13" i="1"/>
  <c r="AJ13" i="1" s="1"/>
  <c r="AG16" i="1"/>
  <c r="AI16" i="1" s="1"/>
  <c r="AH16" i="1"/>
  <c r="AJ16" i="1" s="1"/>
  <c r="AH27" i="1"/>
  <c r="AJ27" i="1" s="1"/>
  <c r="AG27" i="1"/>
  <c r="AI27" i="1" s="1"/>
  <c r="AW27" i="1" s="1"/>
  <c r="AH9" i="1"/>
  <c r="AJ9" i="1" s="1"/>
  <c r="AG9" i="1"/>
  <c r="AI9" i="1" s="1"/>
  <c r="AH92" i="1"/>
  <c r="AJ92" i="1" s="1"/>
  <c r="AG92" i="1"/>
  <c r="AI92" i="1" s="1"/>
  <c r="AH48" i="1"/>
  <c r="AJ48" i="1" s="1"/>
  <c r="AG48" i="1"/>
  <c r="AI48" i="1" s="1"/>
  <c r="AH7" i="1"/>
  <c r="AJ7" i="1" s="1"/>
  <c r="AG7" i="1"/>
  <c r="AI7" i="1" s="1"/>
  <c r="AW7" i="1" s="1"/>
  <c r="AG54" i="1"/>
  <c r="AI54" i="1" s="1"/>
  <c r="AH54" i="1"/>
  <c r="AJ54" i="1" s="1"/>
  <c r="AH30" i="1"/>
  <c r="AJ30" i="1" s="1"/>
  <c r="AG30" i="1"/>
  <c r="AI30" i="1" s="1"/>
  <c r="AG122" i="1"/>
  <c r="AI122" i="1" s="1"/>
  <c r="AH122" i="1"/>
  <c r="AJ122" i="1" s="1"/>
  <c r="AG24" i="1"/>
  <c r="AI24" i="1" s="1"/>
  <c r="AH24" i="1"/>
  <c r="AJ24" i="1" s="1"/>
  <c r="AG50" i="1"/>
  <c r="AI50" i="1" s="1"/>
  <c r="AH50" i="1"/>
  <c r="AJ50" i="1" s="1"/>
  <c r="AH89" i="1"/>
  <c r="AJ89" i="1" s="1"/>
  <c r="AG89" i="1"/>
  <c r="AI89" i="1" s="1"/>
  <c r="AG63" i="1"/>
  <c r="AI63" i="1" s="1"/>
  <c r="AH63" i="1"/>
  <c r="AJ63" i="1" s="1"/>
  <c r="AH142" i="1"/>
  <c r="AJ142" i="1" s="1"/>
  <c r="AG142" i="1"/>
  <c r="AI142" i="1" s="1"/>
  <c r="AW142" i="1" s="1"/>
  <c r="AG5" i="1"/>
  <c r="AI5" i="1" s="1"/>
  <c r="AH5" i="1"/>
  <c r="AJ5" i="1" s="1"/>
  <c r="AH118" i="1"/>
  <c r="AJ118" i="1" s="1"/>
  <c r="AG118" i="1"/>
  <c r="AI118" i="1" s="1"/>
  <c r="AG90" i="1"/>
  <c r="AI90" i="1" s="1"/>
  <c r="AH90" i="1"/>
  <c r="AJ90" i="1" s="1"/>
  <c r="AG4" i="1"/>
  <c r="AI4" i="1" s="1"/>
  <c r="AH4" i="1"/>
  <c r="AJ4" i="1" s="1"/>
  <c r="AH135" i="1"/>
  <c r="AJ135" i="1" s="1"/>
  <c r="AG135" i="1"/>
  <c r="AI135" i="1" s="1"/>
  <c r="AG78" i="1"/>
  <c r="AI78" i="1" s="1"/>
  <c r="AH78" i="1"/>
  <c r="AJ78" i="1" s="1"/>
  <c r="AH87" i="1"/>
  <c r="AJ87" i="1" s="1"/>
  <c r="AG87" i="1"/>
  <c r="AI87" i="1" s="1"/>
  <c r="AH68" i="1"/>
  <c r="AJ68" i="1" s="1"/>
  <c r="AG68" i="1"/>
  <c r="AI68" i="1" s="1"/>
  <c r="AW68" i="1" s="1"/>
  <c r="AH29" i="1"/>
  <c r="AJ29" i="1" s="1"/>
  <c r="AG29" i="1"/>
  <c r="AI29" i="1" s="1"/>
  <c r="AG98" i="1"/>
  <c r="AI98" i="1" s="1"/>
  <c r="AH98" i="1"/>
  <c r="AJ98" i="1" s="1"/>
  <c r="AG59" i="1"/>
  <c r="AI59" i="1" s="1"/>
  <c r="AH59" i="1"/>
  <c r="AJ59" i="1" s="1"/>
  <c r="AH119" i="1"/>
  <c r="AJ119" i="1" s="1"/>
  <c r="AG119" i="1"/>
  <c r="AI119" i="1" s="1"/>
  <c r="AW119" i="1" s="1"/>
  <c r="AH12" i="1"/>
  <c r="AJ12" i="1" s="1"/>
  <c r="AG12" i="1"/>
  <c r="AI12" i="1" s="1"/>
  <c r="AH37" i="1"/>
  <c r="AJ37" i="1" s="1"/>
  <c r="AG37" i="1"/>
  <c r="AI37" i="1" s="1"/>
  <c r="AH11" i="1"/>
  <c r="AJ11" i="1" s="1"/>
  <c r="AG11" i="1"/>
  <c r="AI11" i="1" s="1"/>
  <c r="AH25" i="1"/>
  <c r="AJ25" i="1" s="1"/>
  <c r="AG25" i="1"/>
  <c r="AI25" i="1" s="1"/>
  <c r="AW25" i="1" s="1"/>
  <c r="AG69" i="1"/>
  <c r="AI69" i="1" s="1"/>
  <c r="AH69" i="1"/>
  <c r="AJ69" i="1" s="1"/>
  <c r="AH8" i="1"/>
  <c r="AJ8" i="1" s="1"/>
  <c r="AG8" i="1"/>
  <c r="AI8" i="1" s="1"/>
  <c r="AG65" i="1"/>
  <c r="AI65" i="1" s="1"/>
  <c r="AH65" i="1"/>
  <c r="AJ65" i="1" s="1"/>
  <c r="AH106" i="1"/>
  <c r="AJ106" i="1" s="1"/>
  <c r="AG106" i="1"/>
  <c r="AI106" i="1" s="1"/>
  <c r="AW106" i="1" s="1"/>
  <c r="AG91" i="1"/>
  <c r="AI91" i="1" s="1"/>
  <c r="AH91" i="1"/>
  <c r="AJ91" i="1" s="1"/>
  <c r="AG34" i="1"/>
  <c r="AI34" i="1" s="1"/>
  <c r="AH34" i="1"/>
  <c r="AJ34" i="1" s="1"/>
  <c r="AH72" i="1"/>
  <c r="AJ72" i="1" s="1"/>
  <c r="AG72" i="1"/>
  <c r="AI72" i="1" s="1"/>
  <c r="AG79" i="1"/>
  <c r="AI79" i="1" s="1"/>
  <c r="AH79" i="1"/>
  <c r="AJ79" i="1" s="1"/>
  <c r="AH44" i="1"/>
  <c r="AJ44" i="1" s="1"/>
  <c r="AG44" i="1"/>
  <c r="AI44" i="1" s="1"/>
  <c r="AG28" i="1"/>
  <c r="AI28" i="1" s="1"/>
  <c r="AH28" i="1"/>
  <c r="AJ28" i="1" s="1"/>
  <c r="AG74" i="1"/>
  <c r="AI74" i="1" s="1"/>
  <c r="AH74" i="1"/>
  <c r="AJ74" i="1" s="1"/>
  <c r="AG134" i="1"/>
  <c r="AI134" i="1" s="1"/>
  <c r="AH134" i="1"/>
  <c r="AJ134" i="1" s="1"/>
  <c r="AH49" i="1"/>
  <c r="AJ49" i="1" s="1"/>
  <c r="AG49" i="1"/>
  <c r="AI49" i="1" s="1"/>
  <c r="AG150" i="1"/>
  <c r="AI150" i="1" s="1"/>
  <c r="AH150" i="1"/>
  <c r="AJ150" i="1" s="1"/>
  <c r="AG21" i="1"/>
  <c r="AI21" i="1" s="1"/>
  <c r="AH21" i="1"/>
  <c r="AJ21" i="1" s="1"/>
  <c r="AH2" i="1"/>
  <c r="AJ2" i="1" s="1"/>
  <c r="AG2" i="1"/>
  <c r="AI2" i="1" s="1"/>
  <c r="AW2" i="1" s="1"/>
  <c r="AH149" i="1"/>
  <c r="AJ149" i="1" s="1"/>
  <c r="AG149" i="1"/>
  <c r="AI149" i="1" s="1"/>
  <c r="AH103" i="1"/>
  <c r="AJ103" i="1" s="1"/>
  <c r="AG103" i="1"/>
  <c r="AI103" i="1" s="1"/>
  <c r="AG84" i="1"/>
  <c r="AI84" i="1" s="1"/>
  <c r="AH84" i="1"/>
  <c r="AJ84" i="1" s="1"/>
  <c r="AG75" i="1"/>
  <c r="AI75" i="1" s="1"/>
  <c r="AH75" i="1"/>
  <c r="AJ75" i="1" s="1"/>
  <c r="AW103" i="1" l="1"/>
  <c r="AW8" i="1"/>
  <c r="AW37" i="1"/>
  <c r="AW118" i="1"/>
  <c r="AW151" i="1"/>
  <c r="AW22" i="1"/>
  <c r="AW127" i="1"/>
  <c r="AW131" i="1"/>
  <c r="AW66" i="1"/>
  <c r="AW84" i="1"/>
  <c r="AW21" i="1"/>
  <c r="AW74" i="1"/>
  <c r="AW65" i="1"/>
  <c r="AW59" i="1"/>
  <c r="AW90" i="1"/>
  <c r="AW63" i="1"/>
  <c r="AW122" i="1"/>
  <c r="AW16" i="1"/>
  <c r="AW146" i="1"/>
  <c r="AW47" i="1"/>
  <c r="AW125" i="1"/>
  <c r="AW100" i="1"/>
  <c r="AW26" i="1"/>
  <c r="AW14" i="1"/>
  <c r="AW56" i="1"/>
  <c r="AW42" i="1"/>
  <c r="AW19" i="1"/>
  <c r="AW51" i="1"/>
  <c r="AW36" i="1"/>
  <c r="AW10" i="1"/>
  <c r="AW69" i="1"/>
  <c r="AW5" i="1"/>
  <c r="AW58" i="1"/>
  <c r="AW43" i="1"/>
  <c r="AW94" i="1"/>
  <c r="AW91" i="1"/>
  <c r="AW50" i="1"/>
  <c r="AW46" i="1"/>
  <c r="AW54" i="1"/>
  <c r="AW89" i="1"/>
  <c r="AW30" i="1"/>
  <c r="AW92" i="1"/>
  <c r="AW55" i="1"/>
  <c r="AW104" i="1"/>
  <c r="AW62" i="1"/>
  <c r="AW73" i="1"/>
  <c r="AW101" i="1"/>
  <c r="AW114" i="1"/>
  <c r="AW115" i="1"/>
  <c r="AW126" i="1"/>
  <c r="AW80" i="1"/>
  <c r="AW108" i="1"/>
  <c r="AL148" i="1"/>
  <c r="AL140" i="1"/>
  <c r="AW128" i="1"/>
  <c r="AW38" i="1"/>
  <c r="AW75" i="1"/>
  <c r="AW134" i="1"/>
  <c r="AW79" i="1"/>
  <c r="AW4" i="1"/>
  <c r="AW24" i="1"/>
  <c r="AW117" i="1"/>
  <c r="AW147" i="1"/>
  <c r="AW133" i="1"/>
  <c r="AW39" i="1"/>
  <c r="AW64" i="1"/>
  <c r="AW85" i="1"/>
  <c r="AW145" i="1"/>
  <c r="AW15" i="1"/>
  <c r="AW83" i="1"/>
  <c r="AW95" i="1"/>
  <c r="AW82" i="1"/>
  <c r="AW139" i="1"/>
  <c r="AW72" i="1"/>
  <c r="AW11" i="1"/>
  <c r="AW87" i="1"/>
  <c r="AW48" i="1"/>
  <c r="AW52" i="1"/>
  <c r="AW132" i="1"/>
  <c r="AW57" i="1"/>
  <c r="AW109" i="1"/>
  <c r="AW35" i="1"/>
  <c r="AW88" i="1"/>
  <c r="AW121" i="1"/>
  <c r="AW130" i="1"/>
  <c r="AW97" i="1"/>
  <c r="AW32" i="1"/>
  <c r="AW33" i="1"/>
  <c r="AW111" i="1"/>
  <c r="AW120" i="1"/>
  <c r="AW150" i="1"/>
  <c r="AW28" i="1"/>
  <c r="AW34" i="1"/>
  <c r="AW98" i="1"/>
  <c r="AW78" i="1"/>
  <c r="AW13" i="1"/>
  <c r="AW112" i="1"/>
  <c r="AW107" i="1"/>
  <c r="AW113" i="1"/>
  <c r="AW17" i="1"/>
  <c r="AW129" i="1"/>
  <c r="AW77" i="1"/>
  <c r="AW71" i="1"/>
  <c r="AW148" i="1"/>
  <c r="AW140" i="1"/>
  <c r="AW86" i="1"/>
  <c r="AW136" i="1"/>
  <c r="AW31" i="1"/>
  <c r="AW67" i="1"/>
  <c r="AW149" i="1"/>
  <c r="AW49" i="1"/>
  <c r="AW44" i="1"/>
  <c r="AW12" i="1"/>
  <c r="AW29" i="1"/>
  <c r="AW135" i="1"/>
  <c r="AW9" i="1"/>
  <c r="AW99" i="1"/>
  <c r="AW20" i="1"/>
  <c r="AW60" i="1"/>
  <c r="AW6" i="1"/>
  <c r="AW96" i="1"/>
  <c r="AW102" i="1"/>
  <c r="AW40" i="1"/>
  <c r="AW23" i="1"/>
  <c r="AW137" i="1"/>
  <c r="AW105" i="1"/>
  <c r="AW116" i="1"/>
  <c r="AW53" i="1"/>
  <c r="AW45" i="1"/>
  <c r="AW41" i="1"/>
  <c r="AW93" i="1"/>
  <c r="AG143" i="1"/>
  <c r="AI143" i="1" s="1"/>
  <c r="AW143" i="1" s="1"/>
  <c r="AK61" i="1"/>
  <c r="AO61" i="1" s="1"/>
  <c r="AQ61" i="1" s="1"/>
  <c r="AK18" i="1"/>
  <c r="AO18" i="1" s="1"/>
  <c r="AR18" i="1" s="1"/>
  <c r="AK122" i="1"/>
  <c r="AO122" i="1" s="1"/>
  <c r="AR122" i="1" s="1"/>
  <c r="AL48" i="1"/>
  <c r="AK16" i="1"/>
  <c r="AO16" i="1" s="1"/>
  <c r="AL52" i="1"/>
  <c r="AL132" i="1"/>
  <c r="AK146" i="1"/>
  <c r="AO146" i="1" s="1"/>
  <c r="AR146" i="1" s="1"/>
  <c r="AK47" i="1"/>
  <c r="AO47" i="1" s="1"/>
  <c r="AR47" i="1" s="1"/>
  <c r="AK125" i="1"/>
  <c r="AO125" i="1" s="1"/>
  <c r="AQ125" i="1" s="1"/>
  <c r="AK100" i="1"/>
  <c r="AO100" i="1" s="1"/>
  <c r="AK26" i="1"/>
  <c r="AO26" i="1" s="1"/>
  <c r="AR26" i="1" s="1"/>
  <c r="AK80" i="1"/>
  <c r="AO80" i="1" s="1"/>
  <c r="AK108" i="1"/>
  <c r="AO108" i="1" s="1"/>
  <c r="AR108" i="1" s="1"/>
  <c r="AL129" i="1"/>
  <c r="AL77" i="1"/>
  <c r="AL71" i="1"/>
  <c r="AR16" i="1"/>
  <c r="AQ100" i="1"/>
  <c r="AL97" i="1"/>
  <c r="AL32" i="1"/>
  <c r="AK66" i="1"/>
  <c r="AO66" i="1" s="1"/>
  <c r="AL103" i="1"/>
  <c r="AK150" i="1"/>
  <c r="AO150" i="1" s="1"/>
  <c r="AK28" i="1"/>
  <c r="AO28" i="1" s="1"/>
  <c r="AK34" i="1"/>
  <c r="AO34" i="1" s="1"/>
  <c r="AL8" i="1"/>
  <c r="AL37" i="1"/>
  <c r="AK98" i="1"/>
  <c r="AO98" i="1" s="1"/>
  <c r="AK78" i="1"/>
  <c r="AO78" i="1" s="1"/>
  <c r="AL118" i="1"/>
  <c r="AL89" i="1"/>
  <c r="AL30" i="1"/>
  <c r="AL92" i="1"/>
  <c r="AK13" i="1"/>
  <c r="AO13" i="1" s="1"/>
  <c r="AL55" i="1"/>
  <c r="AK112" i="1"/>
  <c r="AO112" i="1" s="1"/>
  <c r="AL104" i="1"/>
  <c r="AL62" i="1"/>
  <c r="AK107" i="1"/>
  <c r="AO107" i="1" s="1"/>
  <c r="AL73" i="1"/>
  <c r="AK113" i="1"/>
  <c r="AO113" i="1" s="1"/>
  <c r="AK14" i="1"/>
  <c r="AO14" i="1" s="1"/>
  <c r="AK56" i="1"/>
  <c r="AO56" i="1" s="1"/>
  <c r="AK42" i="1"/>
  <c r="AO42" i="1" s="1"/>
  <c r="AK19" i="1"/>
  <c r="AO19" i="1" s="1"/>
  <c r="AK51" i="1"/>
  <c r="AO51" i="1" s="1"/>
  <c r="AL57" i="1"/>
  <c r="AL109" i="1"/>
  <c r="AL35" i="1"/>
  <c r="AK36" i="1"/>
  <c r="AO36" i="1" s="1"/>
  <c r="AL88" i="1"/>
  <c r="AL121" i="1"/>
  <c r="AL130" i="1"/>
  <c r="AK33" i="1"/>
  <c r="AO33" i="1" s="1"/>
  <c r="AK111" i="1"/>
  <c r="AO111" i="1" s="1"/>
  <c r="AL38" i="1"/>
  <c r="AL120" i="1"/>
  <c r="AK10" i="1"/>
  <c r="AO10" i="1" s="1"/>
  <c r="AQ80" i="1"/>
  <c r="AR80" i="1"/>
  <c r="AK136" i="1"/>
  <c r="AO136" i="1" s="1"/>
  <c r="AK31" i="1"/>
  <c r="AO31" i="1" s="1"/>
  <c r="AK67" i="1"/>
  <c r="AO67" i="1" s="1"/>
  <c r="AL96" i="1"/>
  <c r="AL102" i="1"/>
  <c r="AK127" i="1"/>
  <c r="AO127" i="1" s="1"/>
  <c r="AL40" i="1"/>
  <c r="AL105" i="1"/>
  <c r="AK151" i="1"/>
  <c r="AO151" i="1" s="1"/>
  <c r="AK22" i="1"/>
  <c r="AO22" i="1" s="1"/>
  <c r="AL116" i="1"/>
  <c r="AL53" i="1"/>
  <c r="AL45" i="1"/>
  <c r="AL18" i="1"/>
  <c r="AL149" i="1"/>
  <c r="AL12" i="1"/>
  <c r="AK54" i="1"/>
  <c r="AO54" i="1" s="1"/>
  <c r="AK75" i="1"/>
  <c r="AO75" i="1" s="1"/>
  <c r="AK74" i="1"/>
  <c r="AO74" i="1" s="1"/>
  <c r="AK65" i="1"/>
  <c r="AO65" i="1" s="1"/>
  <c r="AK59" i="1"/>
  <c r="AO59" i="1" s="1"/>
  <c r="AK90" i="1"/>
  <c r="AO90" i="1" s="1"/>
  <c r="AK39" i="1"/>
  <c r="AO39" i="1" s="1"/>
  <c r="AK64" i="1"/>
  <c r="AO64" i="1" s="1"/>
  <c r="AL124" i="1"/>
  <c r="AL123" i="1"/>
  <c r="AL81" i="1"/>
  <c r="AK85" i="1"/>
  <c r="AO85" i="1" s="1"/>
  <c r="AK145" i="1"/>
  <c r="AO145" i="1" s="1"/>
  <c r="AK15" i="1"/>
  <c r="AO15" i="1" s="1"/>
  <c r="AK83" i="1"/>
  <c r="AO83" i="1" s="1"/>
  <c r="AK95" i="1"/>
  <c r="AO95" i="1" s="1"/>
  <c r="AL70" i="1"/>
  <c r="AK82" i="1"/>
  <c r="AO82" i="1" s="1"/>
  <c r="AK139" i="1"/>
  <c r="AO139" i="1" s="1"/>
  <c r="AL76" i="1"/>
  <c r="AL44" i="1"/>
  <c r="AL135" i="1"/>
  <c r="AL9" i="1"/>
  <c r="AK84" i="1"/>
  <c r="AO84" i="1" s="1"/>
  <c r="AK21" i="1"/>
  <c r="AO21" i="1" s="1"/>
  <c r="AL72" i="1"/>
  <c r="AL11" i="1"/>
  <c r="AL87" i="1"/>
  <c r="AK63" i="1"/>
  <c r="AO63" i="1" s="1"/>
  <c r="AK69" i="1"/>
  <c r="AO69" i="1" s="1"/>
  <c r="AK50" i="1"/>
  <c r="AO50" i="1" s="1"/>
  <c r="AK46" i="1"/>
  <c r="AO46" i="1" s="1"/>
  <c r="AK58" i="1"/>
  <c r="AO58" i="1" s="1"/>
  <c r="AL99" i="1"/>
  <c r="AL20" i="1"/>
  <c r="AK94" i="1"/>
  <c r="AO94" i="1" s="1"/>
  <c r="AL60" i="1"/>
  <c r="AL101" i="1"/>
  <c r="AL114" i="1"/>
  <c r="AL115" i="1"/>
  <c r="AK17" i="1"/>
  <c r="AO17" i="1" s="1"/>
  <c r="AL126" i="1"/>
  <c r="AL128" i="1"/>
  <c r="AK86" i="1"/>
  <c r="AO86" i="1" s="1"/>
  <c r="AL49" i="1"/>
  <c r="AL29" i="1"/>
  <c r="AK43" i="1"/>
  <c r="AO43" i="1" s="1"/>
  <c r="AL2" i="1"/>
  <c r="AK134" i="1"/>
  <c r="AO134" i="1" s="1"/>
  <c r="AK79" i="1"/>
  <c r="AO79" i="1" s="1"/>
  <c r="AL106" i="1"/>
  <c r="AL25" i="1"/>
  <c r="AL119" i="1"/>
  <c r="AL68" i="1"/>
  <c r="AK4" i="1"/>
  <c r="AO4" i="1" s="1"/>
  <c r="AL142" i="1"/>
  <c r="AK24" i="1"/>
  <c r="AO24" i="1" s="1"/>
  <c r="AL7" i="1"/>
  <c r="AL27" i="1"/>
  <c r="AL144" i="1"/>
  <c r="AK117" i="1"/>
  <c r="AO117" i="1" s="1"/>
  <c r="AK147" i="1"/>
  <c r="AO147" i="1" s="1"/>
  <c r="AL110" i="1"/>
  <c r="AL138" i="1"/>
  <c r="AL3" i="1"/>
  <c r="AK133" i="1"/>
  <c r="AO133" i="1" s="1"/>
  <c r="AL6" i="1"/>
  <c r="AL23" i="1"/>
  <c r="AK131" i="1"/>
  <c r="AO131" i="1" s="1"/>
  <c r="AL137" i="1"/>
  <c r="AK91" i="1"/>
  <c r="AO91" i="1" s="1"/>
  <c r="AK5" i="1"/>
  <c r="AO5" i="1" s="1"/>
  <c r="AK103" i="1"/>
  <c r="AO103" i="1" s="1"/>
  <c r="AL150" i="1"/>
  <c r="AL28" i="1"/>
  <c r="AL34" i="1"/>
  <c r="AK8" i="1"/>
  <c r="AO8" i="1" s="1"/>
  <c r="AK37" i="1"/>
  <c r="AO37" i="1" s="1"/>
  <c r="AL98" i="1"/>
  <c r="AL78" i="1"/>
  <c r="AK118" i="1"/>
  <c r="AO118" i="1" s="1"/>
  <c r="AK89" i="1"/>
  <c r="AO89" i="1" s="1"/>
  <c r="AK30" i="1"/>
  <c r="AO30" i="1" s="1"/>
  <c r="AK92" i="1"/>
  <c r="AO92" i="1" s="1"/>
  <c r="AL13" i="1"/>
  <c r="AK55" i="1"/>
  <c r="AO55" i="1" s="1"/>
  <c r="AL112" i="1"/>
  <c r="AK104" i="1"/>
  <c r="AO104" i="1" s="1"/>
  <c r="AK62" i="1"/>
  <c r="AO62" i="1" s="1"/>
  <c r="AL107" i="1"/>
  <c r="AK73" i="1"/>
  <c r="AO73" i="1" s="1"/>
  <c r="AL113" i="1"/>
  <c r="AL14" i="1"/>
  <c r="AL56" i="1"/>
  <c r="AL42" i="1"/>
  <c r="AL19" i="1"/>
  <c r="AL51" i="1"/>
  <c r="AK57" i="1"/>
  <c r="AO57" i="1" s="1"/>
  <c r="AK109" i="1"/>
  <c r="AO109" i="1" s="1"/>
  <c r="AK35" i="1"/>
  <c r="AO35" i="1" s="1"/>
  <c r="AL36" i="1"/>
  <c r="AK88" i="1"/>
  <c r="AO88" i="1" s="1"/>
  <c r="AK121" i="1"/>
  <c r="AO121" i="1" s="1"/>
  <c r="AK130" i="1"/>
  <c r="AO130" i="1" s="1"/>
  <c r="AL33" i="1"/>
  <c r="AL111" i="1"/>
  <c r="AK97" i="1"/>
  <c r="AO97" i="1" s="1"/>
  <c r="AK32" i="1"/>
  <c r="AO32" i="1" s="1"/>
  <c r="AL66" i="1"/>
  <c r="AK149" i="1"/>
  <c r="AO149" i="1" s="1"/>
  <c r="AK49" i="1"/>
  <c r="AO49" i="1" s="1"/>
  <c r="AK44" i="1"/>
  <c r="AO44" i="1" s="1"/>
  <c r="AL91" i="1"/>
  <c r="AL69" i="1"/>
  <c r="AK12" i="1"/>
  <c r="AO12" i="1" s="1"/>
  <c r="AK29" i="1"/>
  <c r="AO29" i="1" s="1"/>
  <c r="AK135" i="1"/>
  <c r="AO135" i="1" s="1"/>
  <c r="AL5" i="1"/>
  <c r="AL50" i="1"/>
  <c r="AL54" i="1"/>
  <c r="AK9" i="1"/>
  <c r="AO9" i="1" s="1"/>
  <c r="AL43" i="1"/>
  <c r="AL46" i="1"/>
  <c r="AL58" i="1"/>
  <c r="AK99" i="1"/>
  <c r="AO99" i="1" s="1"/>
  <c r="AK20" i="1"/>
  <c r="AO20" i="1" s="1"/>
  <c r="AL94" i="1"/>
  <c r="AK60" i="1"/>
  <c r="AO60" i="1" s="1"/>
  <c r="AK101" i="1"/>
  <c r="AO101" i="1" s="1"/>
  <c r="AK114" i="1"/>
  <c r="AO114" i="1" s="1"/>
  <c r="AK115" i="1"/>
  <c r="AO115" i="1" s="1"/>
  <c r="AL17" i="1"/>
  <c r="AK126" i="1"/>
  <c r="AO126" i="1" s="1"/>
  <c r="AK128" i="1"/>
  <c r="AO128" i="1" s="1"/>
  <c r="AL86" i="1"/>
  <c r="AK38" i="1"/>
  <c r="AO38" i="1" s="1"/>
  <c r="AK120" i="1"/>
  <c r="AO120" i="1" s="1"/>
  <c r="AL10" i="1"/>
  <c r="AL80" i="1"/>
  <c r="AL108" i="1"/>
  <c r="AK129" i="1"/>
  <c r="AO129" i="1" s="1"/>
  <c r="AK77" i="1"/>
  <c r="AO77" i="1" s="1"/>
  <c r="AK71" i="1"/>
  <c r="AO71" i="1" s="1"/>
  <c r="AK148" i="1"/>
  <c r="AO148" i="1" s="1"/>
  <c r="AK140" i="1"/>
  <c r="AO140" i="1" s="1"/>
  <c r="AL75" i="1"/>
  <c r="AK2" i="1"/>
  <c r="AL134" i="1"/>
  <c r="AL79" i="1"/>
  <c r="AK106" i="1"/>
  <c r="AO106" i="1" s="1"/>
  <c r="AK25" i="1"/>
  <c r="AO25" i="1" s="1"/>
  <c r="AK119" i="1"/>
  <c r="AO119" i="1" s="1"/>
  <c r="AK68" i="1"/>
  <c r="AO68" i="1" s="1"/>
  <c r="AL4" i="1"/>
  <c r="AK142" i="1"/>
  <c r="AO142" i="1" s="1"/>
  <c r="AL24" i="1"/>
  <c r="AK7" i="1"/>
  <c r="AO7" i="1" s="1"/>
  <c r="AK27" i="1"/>
  <c r="AO27" i="1" s="1"/>
  <c r="AK144" i="1"/>
  <c r="AO144" i="1" s="1"/>
  <c r="AL117" i="1"/>
  <c r="AL147" i="1"/>
  <c r="AK110" i="1"/>
  <c r="AO110" i="1" s="1"/>
  <c r="AK138" i="1"/>
  <c r="AO138" i="1" s="1"/>
  <c r="AK3" i="1"/>
  <c r="AO3" i="1" s="1"/>
  <c r="AL133" i="1"/>
  <c r="AK6" i="1"/>
  <c r="AO6" i="1" s="1"/>
  <c r="AK96" i="1"/>
  <c r="AO96" i="1" s="1"/>
  <c r="AK102" i="1"/>
  <c r="AO102" i="1" s="1"/>
  <c r="AL127" i="1"/>
  <c r="AK40" i="1"/>
  <c r="AO40" i="1" s="1"/>
  <c r="AK23" i="1"/>
  <c r="AO23" i="1" s="1"/>
  <c r="AL131" i="1"/>
  <c r="AK137" i="1"/>
  <c r="AO137" i="1" s="1"/>
  <c r="AK105" i="1"/>
  <c r="AO105" i="1" s="1"/>
  <c r="AL151" i="1"/>
  <c r="AL22" i="1"/>
  <c r="AK116" i="1"/>
  <c r="AO116" i="1" s="1"/>
  <c r="AK53" i="1"/>
  <c r="AO53" i="1" s="1"/>
  <c r="AK45" i="1"/>
  <c r="AO45" i="1" s="1"/>
  <c r="AG141" i="1"/>
  <c r="AI141" i="1" s="1"/>
  <c r="AH141" i="1"/>
  <c r="AJ141" i="1" s="1"/>
  <c r="AL136" i="1"/>
  <c r="AL31" i="1"/>
  <c r="AL67" i="1"/>
  <c r="AL61" i="1"/>
  <c r="AK41" i="1"/>
  <c r="AO41" i="1" s="1"/>
  <c r="AK93" i="1"/>
  <c r="AO93" i="1" s="1"/>
  <c r="AL84" i="1"/>
  <c r="AL21" i="1"/>
  <c r="AL74" i="1"/>
  <c r="AK72" i="1"/>
  <c r="AO72" i="1" s="1"/>
  <c r="AL65" i="1"/>
  <c r="AK11" i="1"/>
  <c r="AO11" i="1" s="1"/>
  <c r="AL59" i="1"/>
  <c r="AK87" i="1"/>
  <c r="AO87" i="1" s="1"/>
  <c r="AL90" i="1"/>
  <c r="AL63" i="1"/>
  <c r="AL122" i="1"/>
  <c r="AK48" i="1"/>
  <c r="AO48" i="1" s="1"/>
  <c r="AL16" i="1"/>
  <c r="AK52" i="1"/>
  <c r="AO52" i="1" s="1"/>
  <c r="AK132" i="1"/>
  <c r="AO132" i="1" s="1"/>
  <c r="AL146" i="1"/>
  <c r="AL47" i="1"/>
  <c r="AL125" i="1"/>
  <c r="AL100" i="1"/>
  <c r="AL26" i="1"/>
  <c r="AL39" i="1"/>
  <c r="AL64" i="1"/>
  <c r="AK124" i="1"/>
  <c r="AO124" i="1" s="1"/>
  <c r="AK123" i="1"/>
  <c r="AO123" i="1" s="1"/>
  <c r="AK81" i="1"/>
  <c r="AO81" i="1" s="1"/>
  <c r="AL85" i="1"/>
  <c r="AL145" i="1"/>
  <c r="AL15" i="1"/>
  <c r="AL83" i="1"/>
  <c r="AL95" i="1"/>
  <c r="AK70" i="1"/>
  <c r="AO70" i="1" s="1"/>
  <c r="AL82" i="1"/>
  <c r="AL139" i="1"/>
  <c r="AK76" i="1"/>
  <c r="AO76" i="1" s="1"/>
  <c r="AL143" i="1" l="1"/>
  <c r="AR61" i="1"/>
  <c r="AQ108" i="1"/>
  <c r="AQ18" i="1"/>
  <c r="AK143" i="1"/>
  <c r="AO143" i="1" s="1"/>
  <c r="AU143" i="1" s="1"/>
  <c r="AQ146" i="1"/>
  <c r="AQ26" i="1"/>
  <c r="AW141" i="1"/>
  <c r="AR125" i="1"/>
  <c r="AQ47" i="1"/>
  <c r="AQ122" i="1"/>
  <c r="AT70" i="1"/>
  <c r="AU70" i="1"/>
  <c r="AT53" i="1"/>
  <c r="AU53" i="1"/>
  <c r="AT12" i="1"/>
  <c r="AU12" i="1"/>
  <c r="AT94" i="1"/>
  <c r="AU94" i="1"/>
  <c r="AU65" i="1"/>
  <c r="AT65" i="1"/>
  <c r="AT52" i="1"/>
  <c r="AU52" i="1"/>
  <c r="AT11" i="1"/>
  <c r="AU11" i="1"/>
  <c r="AT116" i="1"/>
  <c r="AU116" i="1"/>
  <c r="AT68" i="1"/>
  <c r="AU68" i="1"/>
  <c r="AT140" i="1"/>
  <c r="AU140" i="1"/>
  <c r="AU120" i="1"/>
  <c r="AT120" i="1"/>
  <c r="AT101" i="1"/>
  <c r="AU101" i="1"/>
  <c r="AU57" i="1"/>
  <c r="AT57" i="1"/>
  <c r="AU89" i="1"/>
  <c r="AT89" i="1"/>
  <c r="AT133" i="1"/>
  <c r="AU133" i="1"/>
  <c r="AT79" i="1"/>
  <c r="AU79" i="1"/>
  <c r="AT139" i="1"/>
  <c r="AU139" i="1"/>
  <c r="AU74" i="1"/>
  <c r="AT74" i="1"/>
  <c r="AT19" i="1"/>
  <c r="AU19" i="1"/>
  <c r="AT78" i="1"/>
  <c r="AU78" i="1"/>
  <c r="AU66" i="1"/>
  <c r="AT66" i="1"/>
  <c r="AT100" i="1"/>
  <c r="AU100" i="1"/>
  <c r="AT61" i="1"/>
  <c r="AU61" i="1"/>
  <c r="AT124" i="1"/>
  <c r="AU124" i="1"/>
  <c r="AT110" i="1"/>
  <c r="AU110" i="1"/>
  <c r="AT30" i="1"/>
  <c r="AU30" i="1"/>
  <c r="AT102" i="1"/>
  <c r="AU102" i="1"/>
  <c r="AT119" i="1"/>
  <c r="AU119" i="1"/>
  <c r="AT148" i="1"/>
  <c r="AU148" i="1"/>
  <c r="AT38" i="1"/>
  <c r="AU38" i="1"/>
  <c r="AT143" i="1"/>
  <c r="AU9" i="1"/>
  <c r="AT9" i="1"/>
  <c r="AT62" i="1"/>
  <c r="AU62" i="1"/>
  <c r="AT118" i="1"/>
  <c r="AU118" i="1"/>
  <c r="AT103" i="1"/>
  <c r="AU103" i="1"/>
  <c r="AU24" i="1"/>
  <c r="AT24" i="1"/>
  <c r="AT134" i="1"/>
  <c r="AU134" i="1"/>
  <c r="AU17" i="1"/>
  <c r="AT17" i="1"/>
  <c r="AU82" i="1"/>
  <c r="AT82" i="1"/>
  <c r="AT75" i="1"/>
  <c r="AU75" i="1"/>
  <c r="AT127" i="1"/>
  <c r="AU127" i="1"/>
  <c r="AU42" i="1"/>
  <c r="AT42" i="1"/>
  <c r="AT112" i="1"/>
  <c r="AU112" i="1"/>
  <c r="AU98" i="1"/>
  <c r="AT98" i="1"/>
  <c r="AT108" i="1"/>
  <c r="AU108" i="1"/>
  <c r="AU73" i="1"/>
  <c r="AT73" i="1"/>
  <c r="AT85" i="1"/>
  <c r="AU85" i="1"/>
  <c r="AU25" i="1"/>
  <c r="AT25" i="1"/>
  <c r="AT5" i="1"/>
  <c r="AU5" i="1"/>
  <c r="AU41" i="1"/>
  <c r="AT41" i="1"/>
  <c r="AU114" i="1"/>
  <c r="AT114" i="1"/>
  <c r="AT109" i="1"/>
  <c r="AU109" i="1"/>
  <c r="AT51" i="1"/>
  <c r="AU51" i="1"/>
  <c r="AT48" i="1"/>
  <c r="AU48" i="1"/>
  <c r="AT144" i="1"/>
  <c r="AU144" i="1"/>
  <c r="AT60" i="1"/>
  <c r="AU60" i="1"/>
  <c r="AU130" i="1"/>
  <c r="AT130" i="1"/>
  <c r="AT104" i="1"/>
  <c r="AU104" i="1"/>
  <c r="AT21" i="1"/>
  <c r="AU21" i="1"/>
  <c r="AT54" i="1"/>
  <c r="AU54" i="1"/>
  <c r="AU56" i="1"/>
  <c r="AT56" i="1"/>
  <c r="AT125" i="1"/>
  <c r="AU125" i="1"/>
  <c r="AU16" i="1"/>
  <c r="AT16" i="1"/>
  <c r="AU105" i="1"/>
  <c r="AT105" i="1"/>
  <c r="AT6" i="1"/>
  <c r="AU6" i="1"/>
  <c r="AT27" i="1"/>
  <c r="AU27" i="1"/>
  <c r="AU106" i="1"/>
  <c r="AT106" i="1"/>
  <c r="AT77" i="1"/>
  <c r="AU77" i="1"/>
  <c r="AU128" i="1"/>
  <c r="AT128" i="1"/>
  <c r="AU49" i="1"/>
  <c r="AT49" i="1"/>
  <c r="AU121" i="1"/>
  <c r="AT121" i="1"/>
  <c r="AT91" i="1"/>
  <c r="AU91" i="1"/>
  <c r="AT4" i="1"/>
  <c r="AU4" i="1"/>
  <c r="AT43" i="1"/>
  <c r="AU43" i="1"/>
  <c r="AT46" i="1"/>
  <c r="AU46" i="1"/>
  <c r="AT84" i="1"/>
  <c r="AU84" i="1"/>
  <c r="AT95" i="1"/>
  <c r="AU95" i="1"/>
  <c r="AT64" i="1"/>
  <c r="AU64" i="1"/>
  <c r="AU10" i="1"/>
  <c r="AT10" i="1"/>
  <c r="AT36" i="1"/>
  <c r="AU36" i="1"/>
  <c r="AT14" i="1"/>
  <c r="AU14" i="1"/>
  <c r="AT13" i="1"/>
  <c r="AU13" i="1"/>
  <c r="AT80" i="1"/>
  <c r="AU80" i="1"/>
  <c r="AT132" i="1"/>
  <c r="AU132" i="1"/>
  <c r="AU40" i="1"/>
  <c r="AT40" i="1"/>
  <c r="AU97" i="1"/>
  <c r="AT97" i="1"/>
  <c r="AU33" i="1"/>
  <c r="AT33" i="1"/>
  <c r="AT72" i="1"/>
  <c r="AU72" i="1"/>
  <c r="AU96" i="1"/>
  <c r="AT96" i="1"/>
  <c r="AT71" i="1"/>
  <c r="AU71" i="1"/>
  <c r="AT44" i="1"/>
  <c r="AU44" i="1"/>
  <c r="AU58" i="1"/>
  <c r="AT58" i="1"/>
  <c r="AT76" i="1"/>
  <c r="AU76" i="1"/>
  <c r="AU137" i="1"/>
  <c r="AT137" i="1"/>
  <c r="AT7" i="1"/>
  <c r="AU7" i="1"/>
  <c r="AU129" i="1"/>
  <c r="AT129" i="1"/>
  <c r="AT126" i="1"/>
  <c r="AU126" i="1"/>
  <c r="AT20" i="1"/>
  <c r="AU20" i="1"/>
  <c r="AT149" i="1"/>
  <c r="AU149" i="1"/>
  <c r="AT88" i="1"/>
  <c r="AU88" i="1"/>
  <c r="AT55" i="1"/>
  <c r="AU55" i="1"/>
  <c r="AT37" i="1"/>
  <c r="AU37" i="1"/>
  <c r="AT147" i="1"/>
  <c r="AU147" i="1"/>
  <c r="AU50" i="1"/>
  <c r="AT50" i="1"/>
  <c r="AT83" i="1"/>
  <c r="AU83" i="1"/>
  <c r="AT39" i="1"/>
  <c r="AU39" i="1"/>
  <c r="AT67" i="1"/>
  <c r="AU67" i="1"/>
  <c r="AU113" i="1"/>
  <c r="AT113" i="1"/>
  <c r="AU34" i="1"/>
  <c r="AT34" i="1"/>
  <c r="AT47" i="1"/>
  <c r="AU47" i="1"/>
  <c r="AU81" i="1"/>
  <c r="AT81" i="1"/>
  <c r="AT3" i="1"/>
  <c r="AU3" i="1"/>
  <c r="AT99" i="1"/>
  <c r="AU99" i="1"/>
  <c r="AT131" i="1"/>
  <c r="AU131" i="1"/>
  <c r="AT15" i="1"/>
  <c r="AU15" i="1"/>
  <c r="AT31" i="1"/>
  <c r="AU31" i="1"/>
  <c r="AU122" i="1"/>
  <c r="AT122" i="1"/>
  <c r="AT135" i="1"/>
  <c r="AU135" i="1"/>
  <c r="AU8" i="1"/>
  <c r="AT8" i="1"/>
  <c r="AT117" i="1"/>
  <c r="AU117" i="1"/>
  <c r="AT69" i="1"/>
  <c r="AU69" i="1"/>
  <c r="AU90" i="1"/>
  <c r="AT90" i="1"/>
  <c r="AT22" i="1"/>
  <c r="AU22" i="1"/>
  <c r="AT28" i="1"/>
  <c r="AU28" i="1"/>
  <c r="AT123" i="1"/>
  <c r="AU123" i="1"/>
  <c r="AT87" i="1"/>
  <c r="AU87" i="1"/>
  <c r="AT93" i="1"/>
  <c r="AU93" i="1"/>
  <c r="AT45" i="1"/>
  <c r="AU45" i="1"/>
  <c r="AT23" i="1"/>
  <c r="AU23" i="1"/>
  <c r="AU138" i="1"/>
  <c r="AT138" i="1"/>
  <c r="AT142" i="1"/>
  <c r="AU142" i="1"/>
  <c r="AT115" i="1"/>
  <c r="AU115" i="1"/>
  <c r="AT29" i="1"/>
  <c r="AU29" i="1"/>
  <c r="AU32" i="1"/>
  <c r="AT32" i="1"/>
  <c r="AT35" i="1"/>
  <c r="AU35" i="1"/>
  <c r="AT92" i="1"/>
  <c r="AU92" i="1"/>
  <c r="AT86" i="1"/>
  <c r="AU86" i="1"/>
  <c r="AT63" i="1"/>
  <c r="AU63" i="1"/>
  <c r="AU145" i="1"/>
  <c r="AT145" i="1"/>
  <c r="AT59" i="1"/>
  <c r="AU59" i="1"/>
  <c r="AT151" i="1"/>
  <c r="AU151" i="1"/>
  <c r="AT136" i="1"/>
  <c r="AU136" i="1"/>
  <c r="AT111" i="1"/>
  <c r="AU111" i="1"/>
  <c r="AT107" i="1"/>
  <c r="AU107" i="1"/>
  <c r="AT150" i="1"/>
  <c r="AU150" i="1"/>
  <c r="AR100" i="1"/>
  <c r="AQ16" i="1"/>
  <c r="AU26" i="1"/>
  <c r="AT26" i="1"/>
  <c r="AU146" i="1"/>
  <c r="AT146" i="1"/>
  <c r="AU18" i="1"/>
  <c r="AT18" i="1"/>
  <c r="AQ123" i="1"/>
  <c r="AR123" i="1"/>
  <c r="AQ87" i="1"/>
  <c r="AR87" i="1"/>
  <c r="AR132" i="1"/>
  <c r="AQ132" i="1"/>
  <c r="AQ40" i="1"/>
  <c r="AR40" i="1"/>
  <c r="AR114" i="1"/>
  <c r="AQ114" i="1"/>
  <c r="AR97" i="1"/>
  <c r="AQ97" i="1"/>
  <c r="AQ30" i="1"/>
  <c r="AR30" i="1"/>
  <c r="AR33" i="1"/>
  <c r="AQ33" i="1"/>
  <c r="AR52" i="1"/>
  <c r="AQ52" i="1"/>
  <c r="AR116" i="1"/>
  <c r="AQ116" i="1"/>
  <c r="AR68" i="1"/>
  <c r="AQ68" i="1"/>
  <c r="AQ120" i="1"/>
  <c r="AR120" i="1"/>
  <c r="AR89" i="1"/>
  <c r="AQ89" i="1"/>
  <c r="AR139" i="1"/>
  <c r="AQ139" i="1"/>
  <c r="AQ67" i="1"/>
  <c r="AR67" i="1"/>
  <c r="AQ78" i="1"/>
  <c r="AR78" i="1"/>
  <c r="AQ38" i="1"/>
  <c r="AR38" i="1"/>
  <c r="AQ103" i="1"/>
  <c r="AR103" i="1"/>
  <c r="AQ134" i="1"/>
  <c r="AR134" i="1"/>
  <c r="AR82" i="1"/>
  <c r="AQ82" i="1"/>
  <c r="AQ22" i="1"/>
  <c r="AR22" i="1"/>
  <c r="AQ112" i="1"/>
  <c r="AR112" i="1"/>
  <c r="AQ48" i="1"/>
  <c r="AR48" i="1"/>
  <c r="AQ144" i="1"/>
  <c r="AR144" i="1"/>
  <c r="AR58" i="1"/>
  <c r="AQ58" i="1"/>
  <c r="AQ21" i="1"/>
  <c r="AR21" i="1"/>
  <c r="AQ54" i="1"/>
  <c r="AR54" i="1"/>
  <c r="AQ151" i="1"/>
  <c r="AR151" i="1"/>
  <c r="AQ136" i="1"/>
  <c r="AR136" i="1"/>
  <c r="AQ56" i="1"/>
  <c r="AR56" i="1"/>
  <c r="AQ70" i="1"/>
  <c r="AR70" i="1"/>
  <c r="AR41" i="1"/>
  <c r="AQ41" i="1"/>
  <c r="AQ110" i="1"/>
  <c r="AR110" i="1"/>
  <c r="AQ12" i="1"/>
  <c r="AR12" i="1"/>
  <c r="AR73" i="1"/>
  <c r="AQ73" i="1"/>
  <c r="AQ94" i="1"/>
  <c r="AR94" i="1"/>
  <c r="AQ85" i="1"/>
  <c r="AR85" i="1"/>
  <c r="AQ51" i="1"/>
  <c r="AR51" i="1"/>
  <c r="AQ11" i="1"/>
  <c r="AR11" i="1"/>
  <c r="AR140" i="1"/>
  <c r="AQ140" i="1"/>
  <c r="AQ101" i="1"/>
  <c r="AR101" i="1"/>
  <c r="AR57" i="1"/>
  <c r="AQ57" i="1"/>
  <c r="AQ79" i="1"/>
  <c r="AR79" i="1"/>
  <c r="AR74" i="1"/>
  <c r="AQ74" i="1"/>
  <c r="AR66" i="1"/>
  <c r="AQ66" i="1"/>
  <c r="AR148" i="1"/>
  <c r="AQ148" i="1"/>
  <c r="AR9" i="1"/>
  <c r="AQ9" i="1"/>
  <c r="AQ62" i="1"/>
  <c r="AR62" i="1"/>
  <c r="AQ24" i="1"/>
  <c r="AR24" i="1"/>
  <c r="AR75" i="1"/>
  <c r="AQ75" i="1"/>
  <c r="AR98" i="1"/>
  <c r="AQ98" i="1"/>
  <c r="AQ72" i="1"/>
  <c r="AR72" i="1"/>
  <c r="AQ96" i="1"/>
  <c r="AR96" i="1"/>
  <c r="AR71" i="1"/>
  <c r="AQ71" i="1"/>
  <c r="AR44" i="1"/>
  <c r="AQ44" i="1"/>
  <c r="AQ5" i="1"/>
  <c r="AR5" i="1"/>
  <c r="AR105" i="1"/>
  <c r="AQ105" i="1"/>
  <c r="AR27" i="1"/>
  <c r="AQ27" i="1"/>
  <c r="AQ77" i="1"/>
  <c r="AR77" i="1"/>
  <c r="AQ128" i="1"/>
  <c r="AR128" i="1"/>
  <c r="AR49" i="1"/>
  <c r="AQ49" i="1"/>
  <c r="AR121" i="1"/>
  <c r="AQ121" i="1"/>
  <c r="AQ91" i="1"/>
  <c r="AR91" i="1"/>
  <c r="AR4" i="1"/>
  <c r="AQ4" i="1"/>
  <c r="AR43" i="1"/>
  <c r="AQ43" i="1"/>
  <c r="AQ46" i="1"/>
  <c r="AR46" i="1"/>
  <c r="AR84" i="1"/>
  <c r="AQ84" i="1"/>
  <c r="AQ95" i="1"/>
  <c r="AR95" i="1"/>
  <c r="AQ64" i="1"/>
  <c r="AR64" i="1"/>
  <c r="AR10" i="1"/>
  <c r="AQ10" i="1"/>
  <c r="AR36" i="1"/>
  <c r="AQ36" i="1"/>
  <c r="AQ14" i="1"/>
  <c r="AR14" i="1"/>
  <c r="AQ13" i="1"/>
  <c r="AR13" i="1"/>
  <c r="AR81" i="1"/>
  <c r="AQ81" i="1"/>
  <c r="AR124" i="1"/>
  <c r="AQ124" i="1"/>
  <c r="AQ53" i="1"/>
  <c r="AR53" i="1"/>
  <c r="AQ109" i="1"/>
  <c r="AR109" i="1"/>
  <c r="AR65" i="1"/>
  <c r="AQ65" i="1"/>
  <c r="AQ133" i="1"/>
  <c r="AR133" i="1"/>
  <c r="AR19" i="1"/>
  <c r="AQ19" i="1"/>
  <c r="AQ102" i="1"/>
  <c r="AR102" i="1"/>
  <c r="AQ119" i="1"/>
  <c r="AR119" i="1"/>
  <c r="AQ143" i="1"/>
  <c r="AR143" i="1"/>
  <c r="AQ118" i="1"/>
  <c r="AR118" i="1"/>
  <c r="AR17" i="1"/>
  <c r="AQ17" i="1"/>
  <c r="AR31" i="1"/>
  <c r="AQ31" i="1"/>
  <c r="AR42" i="1"/>
  <c r="AQ42" i="1"/>
  <c r="AR25" i="1"/>
  <c r="AQ25" i="1"/>
  <c r="AR60" i="1"/>
  <c r="AQ60" i="1"/>
  <c r="AR130" i="1"/>
  <c r="AQ130" i="1"/>
  <c r="AQ104" i="1"/>
  <c r="AR104" i="1"/>
  <c r="AQ6" i="1"/>
  <c r="AR6" i="1"/>
  <c r="AR106" i="1"/>
  <c r="AQ106" i="1"/>
  <c r="AR76" i="1"/>
  <c r="AQ76" i="1"/>
  <c r="AR137" i="1"/>
  <c r="AQ137" i="1"/>
  <c r="AR7" i="1"/>
  <c r="AQ7" i="1"/>
  <c r="AR129" i="1"/>
  <c r="AQ129" i="1"/>
  <c r="AQ126" i="1"/>
  <c r="AR126" i="1"/>
  <c r="AQ20" i="1"/>
  <c r="AR20" i="1"/>
  <c r="AQ149" i="1"/>
  <c r="AR149" i="1"/>
  <c r="AQ88" i="1"/>
  <c r="AR88" i="1"/>
  <c r="AR55" i="1"/>
  <c r="AQ55" i="1"/>
  <c r="AQ37" i="1"/>
  <c r="AR37" i="1"/>
  <c r="AQ147" i="1"/>
  <c r="AR147" i="1"/>
  <c r="AR50" i="1"/>
  <c r="AQ50" i="1"/>
  <c r="AQ83" i="1"/>
  <c r="AR83" i="1"/>
  <c r="AR39" i="1"/>
  <c r="AQ39" i="1"/>
  <c r="AR113" i="1"/>
  <c r="AQ113" i="1"/>
  <c r="AR34" i="1"/>
  <c r="AQ34" i="1"/>
  <c r="AR3" i="1"/>
  <c r="AQ3" i="1"/>
  <c r="AR99" i="1"/>
  <c r="AQ99" i="1"/>
  <c r="AQ135" i="1"/>
  <c r="AR135" i="1"/>
  <c r="AQ8" i="1"/>
  <c r="AR8" i="1"/>
  <c r="AR131" i="1"/>
  <c r="AQ131" i="1"/>
  <c r="AQ117" i="1"/>
  <c r="AR117" i="1"/>
  <c r="AQ69" i="1"/>
  <c r="AR69" i="1"/>
  <c r="AR15" i="1"/>
  <c r="AQ15" i="1"/>
  <c r="AR90" i="1"/>
  <c r="AQ90" i="1"/>
  <c r="AQ127" i="1"/>
  <c r="AR127" i="1"/>
  <c r="AR28" i="1"/>
  <c r="AQ28" i="1"/>
  <c r="AQ93" i="1"/>
  <c r="AR93" i="1"/>
  <c r="AQ45" i="1"/>
  <c r="AR45" i="1"/>
  <c r="AR23" i="1"/>
  <c r="AQ23" i="1"/>
  <c r="AR138" i="1"/>
  <c r="AQ138" i="1"/>
  <c r="AQ142" i="1"/>
  <c r="AR142" i="1"/>
  <c r="AO2" i="1"/>
  <c r="AQ115" i="1"/>
  <c r="AR115" i="1"/>
  <c r="AQ29" i="1"/>
  <c r="AR29" i="1"/>
  <c r="AQ32" i="1"/>
  <c r="AR32" i="1"/>
  <c r="AR35" i="1"/>
  <c r="AQ35" i="1"/>
  <c r="AR92" i="1"/>
  <c r="AQ92" i="1"/>
  <c r="AQ86" i="1"/>
  <c r="AR86" i="1"/>
  <c r="AR63" i="1"/>
  <c r="AQ63" i="1"/>
  <c r="AR145" i="1"/>
  <c r="AQ145" i="1"/>
  <c r="AQ59" i="1"/>
  <c r="AR59" i="1"/>
  <c r="AQ111" i="1"/>
  <c r="AR111" i="1"/>
  <c r="AR107" i="1"/>
  <c r="AQ107" i="1"/>
  <c r="AQ150" i="1"/>
  <c r="AR150" i="1"/>
  <c r="AL141" i="1"/>
  <c r="AL152" i="1" s="1"/>
  <c r="AK141" i="1"/>
  <c r="AO141" i="1" s="1"/>
  <c r="AT141" i="1" l="1"/>
  <c r="AU141" i="1"/>
  <c r="AU2" i="1"/>
  <c r="AT2" i="1"/>
  <c r="AK152" i="1"/>
  <c r="AQ141" i="1"/>
  <c r="AR141" i="1"/>
  <c r="AR2" i="1"/>
  <c r="AQ2" i="1"/>
</calcChain>
</file>

<file path=xl/sharedStrings.xml><?xml version="1.0" encoding="utf-8"?>
<sst xmlns="http://schemas.openxmlformats.org/spreadsheetml/2006/main" count="456" uniqueCount="211">
  <si>
    <t>Division</t>
  </si>
  <si>
    <t>State</t>
  </si>
  <si>
    <t>ALP</t>
  </si>
  <si>
    <t>DEM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</si>
  <si>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</si>
  <si>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</si>
  <si>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</si>
  <si>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</si>
  <si>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</si>
  <si>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</si>
  <si>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</si>
  <si>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</si>
  <si>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</si>
  <si>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</si>
  <si>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</si>
  <si>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</si>
  <si>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</si>
  <si>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</si>
  <si>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Batman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</si>
  <si>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</si>
  <si>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</si>
  <si>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</si>
  <si>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</si>
  <si>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</si>
  <si>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</si>
  <si>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</si>
  <si>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</si>
  <si>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</si>
  <si>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</si>
  <si>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</si>
  <si>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</si>
  <si>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</si>
  <si>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</si>
  <si>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</si>
  <si>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</si>
  <si>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</si>
  <si>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</si>
  <si>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</si>
  <si>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</si>
  <si>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</si>
  <si>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</si>
  <si>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</si>
  <si>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</si>
  <si>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</si>
  <si>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</si>
  <si>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</si>
  <si>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</si>
  <si>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</si>
  <si>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</si>
  <si>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</si>
  <si>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</si>
  <si>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</si>
  <si>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</si>
  <si>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</si>
  <si>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</si>
  <si>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</si>
  <si>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</si>
  <si>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</si>
  <si>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</si>
  <si>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</si>
  <si>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</si>
  <si>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</si>
  <si>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</si>
  <si>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</si>
  <si>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</si>
  <si>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</si>
  <si>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</si>
  <si>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</si>
  <si>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</si>
  <si>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</si>
  <si>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</si>
  <si>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</si>
  <si>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</si>
  <si>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</si>
  <si>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</si>
  <si>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</si>
  <si>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</si>
  <si>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</si>
  <si>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</si>
  <si>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Gwydir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</si>
  <si>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</si>
  <si>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</si>
  <si>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</si>
  <si>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</si>
  <si>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</si>
  <si>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</si>
  <si>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</si>
  <si>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</si>
  <si>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</si>
  <si>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</si>
  <si>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</si>
  <si>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</si>
  <si>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</si>
  <si>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Kalgoorlie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</si>
  <si>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</si>
  <si>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</si>
  <si>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</si>
  <si>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</si>
  <si>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</si>
  <si>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</si>
  <si>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</si>
  <si>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</si>
  <si>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</si>
  <si>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</si>
  <si>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</si>
  <si>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</si>
  <si>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Lowe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</si>
  <si>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</si>
  <si>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</si>
  <si>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</si>
  <si>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</si>
  <si>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</si>
  <si>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</si>
  <si>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</si>
  <si>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</si>
  <si>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</si>
  <si>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</si>
  <si>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</si>
  <si>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</si>
  <si>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</si>
  <si>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</si>
  <si>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</si>
  <si>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</si>
  <si>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</si>
  <si>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</si>
  <si>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</si>
  <si>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</si>
  <si>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</si>
  <si>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</si>
  <si>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</si>
  <si>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</si>
  <si>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</si>
  <si>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</si>
  <si>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</si>
  <si>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</si>
  <si>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</si>
  <si>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</si>
  <si>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</si>
  <si>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</si>
  <si>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</si>
  <si>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</si>
  <si>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Prospect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</si>
  <si>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</si>
  <si>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</si>
  <si>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</si>
  <si>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</si>
  <si>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</si>
  <si>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</si>
  <si>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</si>
  <si>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</si>
  <si>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</si>
  <si>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</si>
  <si>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</si>
  <si>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</si>
  <si>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</si>
  <si>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</si>
  <si>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</si>
  <si>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</si>
  <si>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</si>
  <si>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</si>
  <si>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</si>
  <si>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</si>
  <si>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</si>
  <si>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</si>
  <si>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</si>
  <si>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</si>
  <si>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</si>
  <si>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</si>
  <si>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IncOTH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</si>
  <si>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</si>
  <si>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</si>
  <si>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</si>
  <si>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</si>
  <si>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</si>
  <si>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</si>
  <si>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</si>
  <si>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</si>
  <si>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</si>
  <si>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ONP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</si>
  <si>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</si>
  <si>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</si>
  <si>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</si>
  <si>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</si>
  <si>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</si>
  <si>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</si>
  <si>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</si>
  <si>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</si>
  <si>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</si>
  <si>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</si>
  <si>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</si>
  <si>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</si>
  <si>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</si>
  <si>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</si>
  <si>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</si>
  <si>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</si>
  <si>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ONP_Pref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</si>
  <si>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</si>
  <si>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</si>
  <si>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</si>
  <si>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</si>
  <si>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</si>
  <si>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</si>
  <si>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</si>
  <si>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</si>
  <si>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</si>
  <si>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NewFormal</t>
  </si>
  <si>
    <t>Total formal-under-OPV</t>
  </si>
  <si>
    <t>NSW adjustment</t>
  </si>
  <si>
    <t>NSWFormal</t>
  </si>
  <si>
    <t>Exh v FPV</t>
  </si>
  <si>
    <t>Mod v 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</si>
</sst>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</cellXfs>
  <cellStyles count="1">
    <cellStyle name="Normal" xfId="0" builtinId="0"/>
  </cellStyles>
  <dxfs count="1"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>
      <selection activeCell="B7" sqref="B7"/>
    </sheetView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170</v>
      </c>
      <c r="B1" s="1" t="s">
        <v>171</v>
      </c>
    </row>
    <row r="2" spans="1:2" x14ac:dyDescent="0.55000000000000004">
      <c r="A2" s="1" t="s">
        <v>172</v>
      </c>
      <c r="B2" s="1">
        <v>0.32800000000000001</v>
      </c>
    </row>
    <row r="3" spans="1:2" x14ac:dyDescent="0.55000000000000004">
      <c r="A3" s="1" t="s">
        <v>173</v>
      </c>
      <c r="B3" s="1">
        <v>9.2999999999999999E-2</v>
      </c>
    </row>
    <row r="4" spans="1:2" x14ac:dyDescent="0.55000000000000004">
      <c r="A4" s="1" t="s">
        <v>188</v>
      </c>
      <c r="B4" s="1">
        <v>4.3999999999999997E-2</v>
      </c>
    </row>
    <row r="5" spans="1:2" x14ac:dyDescent="0.55000000000000004">
      <c r="A5" s="1" t="s">
        <v>206</v>
      </c>
      <c r="B5" s="1">
        <f>SUM(B2:B4)</f>
        <v>0.46500000000000002</v>
      </c>
    </row>
    <row r="6" spans="1:2" x14ac:dyDescent="0.55000000000000004">
      <c r="A6" s="1" t="s">
        <v>207</v>
      </c>
      <c r="B6" s="1">
        <f>ROUND(4.1/6.12,3)</f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X153"/>
  <sheetViews>
    <sheetView tabSelected="1" workbookViewId="0">
      <pane xSplit="1" topLeftCell="B1" activePane="topRight" state="frozen"/>
      <selection pane="topRight" activeCell="B2" sqref="B2:B151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7"/>
    <col min="3" max="3" width="8.8203125" style="10"/>
    <col min="4" max="9" width="8.8203125" style="1"/>
    <col min="10" max="10" width="8.8203125" style="7"/>
    <col min="11" max="11" width="8.8203125" style="10"/>
    <col min="12" max="12" width="8.8203125" style="7"/>
    <col min="13" max="13" width="8.8203125" style="10"/>
    <col min="14" max="14" width="8.8203125" style="1"/>
    <col min="15" max="15" width="8.8203125" style="7"/>
    <col min="16" max="16" width="8.8203125" style="1"/>
    <col min="17" max="17" width="8.8203125" style="8"/>
    <col min="18" max="19" width="8.8203125" style="1"/>
    <col min="20" max="20" width="8.8203125" style="7"/>
    <col min="21" max="21" width="8.8203125" style="9"/>
    <col min="22" max="22" width="13.17578125" style="7" customWidth="1"/>
    <col min="23" max="23" width="13.17578125" style="9" customWidth="1"/>
    <col min="24" max="24" width="10.64453125" style="7" customWidth="1"/>
    <col min="25" max="25" width="10.64453125" style="9" customWidth="1"/>
    <col min="26" max="26" width="8.8203125" style="7"/>
    <col min="27" max="27" width="8.8203125" style="8"/>
    <col min="28" max="28" width="8.8203125" style="1"/>
    <col min="29" max="30" width="8.8203125" style="7"/>
    <col min="31" max="31" width="8.8203125" style="8"/>
    <col min="32" max="32" width="8.8203125" style="7"/>
    <col min="33" max="33" width="13.17578125" style="7" customWidth="1"/>
    <col min="34" max="34" width="13.17578125" style="9" customWidth="1"/>
    <col min="35" max="35" width="10.64453125" style="7" customWidth="1"/>
    <col min="36" max="36" width="10.64453125" style="9" customWidth="1"/>
    <col min="37" max="37" width="8.8203125" style="7"/>
    <col min="38" max="38" width="8.8203125" style="9"/>
    <col min="39" max="40" width="8.8203125" style="1"/>
    <col min="41" max="41" width="8.8203125" style="7"/>
    <col min="42" max="43" width="8.8203125" style="1"/>
    <col min="44" max="44" width="8.8203125" style="7"/>
    <col min="45" max="46" width="8.8203125" style="1"/>
    <col min="47" max="47" width="8.8203125" style="7"/>
    <col min="48" max="48" width="8.8203125" style="1"/>
    <col min="49" max="49" width="8.8203125" style="7"/>
    <col min="50" max="16384" width="8.8203125" style="1"/>
  </cols>
  <sheetData>
    <row r="1" spans="1:50" s="3" customFormat="1" x14ac:dyDescent="0.55000000000000004">
      <c r="A1" s="3" t="s">
        <v>0</v>
      </c>
      <c r="B1" s="4" t="s">
        <v>1</v>
      </c>
      <c r="C1" s="3" t="s">
        <v>2</v>
      </c>
      <c r="D1" s="3" t="s">
        <v>166</v>
      </c>
      <c r="E1" s="3" t="s">
        <v>167</v>
      </c>
      <c r="F1" s="3" t="s">
        <v>3</v>
      </c>
      <c r="G1" s="3" t="s">
        <v>178</v>
      </c>
      <c r="H1" s="3" t="s">
        <v>4</v>
      </c>
      <c r="I1" s="3" t="s">
        <v>5</v>
      </c>
      <c r="J1" s="4" t="s">
        <v>168</v>
      </c>
      <c r="K1" s="3" t="s">
        <v>6</v>
      </c>
      <c r="L1" s="4" t="s">
        <v>2</v>
      </c>
      <c r="M1" s="3" t="s">
        <v>165</v>
      </c>
      <c r="N1" s="3" t="s">
        <v>169</v>
      </c>
      <c r="O1" s="4" t="s">
        <v>174</v>
      </c>
      <c r="P1" s="3" t="s">
        <v>2</v>
      </c>
      <c r="Q1" s="3" t="s">
        <v>175</v>
      </c>
      <c r="R1" s="3" t="s">
        <v>178</v>
      </c>
      <c r="S1" s="3" t="s">
        <v>4</v>
      </c>
      <c r="T1" s="4" t="s">
        <v>5</v>
      </c>
      <c r="U1" s="5" t="s">
        <v>181</v>
      </c>
      <c r="V1" s="3" t="s">
        <v>183</v>
      </c>
      <c r="W1" s="4" t="s">
        <v>184</v>
      </c>
      <c r="X1" s="3" t="s">
        <v>180</v>
      </c>
      <c r="Y1" s="4" t="s">
        <v>185</v>
      </c>
      <c r="Z1" s="3" t="s">
        <v>182</v>
      </c>
      <c r="AA1" s="3" t="s">
        <v>186</v>
      </c>
      <c r="AB1" s="3" t="s">
        <v>187</v>
      </c>
      <c r="AC1" s="4" t="s">
        <v>190</v>
      </c>
      <c r="AD1" s="6" t="s">
        <v>195</v>
      </c>
      <c r="AE1" s="3" t="s">
        <v>196</v>
      </c>
      <c r="AF1" s="4" t="s">
        <v>197</v>
      </c>
      <c r="AG1" s="3" t="s">
        <v>191</v>
      </c>
      <c r="AH1" s="4" t="s">
        <v>192</v>
      </c>
      <c r="AI1" s="3" t="s">
        <v>198</v>
      </c>
      <c r="AJ1" s="4" t="s">
        <v>199</v>
      </c>
      <c r="AK1" s="3" t="s">
        <v>193</v>
      </c>
      <c r="AL1" s="4" t="s">
        <v>194</v>
      </c>
      <c r="AM1" s="3" t="s">
        <v>202</v>
      </c>
      <c r="AN1" s="3" t="s">
        <v>201</v>
      </c>
      <c r="AO1" s="4" t="s">
        <v>200</v>
      </c>
      <c r="AP1" s="3" t="s">
        <v>189</v>
      </c>
      <c r="AQ1" s="3" t="s">
        <v>203</v>
      </c>
      <c r="AR1" s="4" t="s">
        <v>204</v>
      </c>
      <c r="AS1" s="3" t="s">
        <v>209</v>
      </c>
      <c r="AT1" s="3" t="s">
        <v>210</v>
      </c>
      <c r="AU1" s="4" t="s">
        <v>204</v>
      </c>
      <c r="AV1" s="3" t="s">
        <v>208</v>
      </c>
      <c r="AW1" s="4" t="s">
        <v>205</v>
      </c>
      <c r="AX1" s="6"/>
    </row>
    <row r="2" spans="1:50" x14ac:dyDescent="0.55000000000000004">
      <c r="A2" s="11" t="s">
        <v>7</v>
      </c>
      <c r="B2" s="7" t="s">
        <v>8</v>
      </c>
      <c r="C2" s="10">
        <v>41.92</v>
      </c>
      <c r="D2" s="10">
        <v>45.29</v>
      </c>
      <c r="E2" s="10">
        <v>0</v>
      </c>
      <c r="F2" s="10">
        <v>1.59</v>
      </c>
      <c r="G2" s="10">
        <v>0</v>
      </c>
      <c r="H2" s="10">
        <v>7.99</v>
      </c>
      <c r="I2" s="10">
        <v>3.21</v>
      </c>
      <c r="J2" s="7">
        <f>ROUND(F2+I2-G2,2)</f>
        <v>4.8</v>
      </c>
      <c r="K2" s="10">
        <v>48.67</v>
      </c>
      <c r="L2" s="7">
        <v>51.33</v>
      </c>
      <c r="M2" s="10">
        <v>88996</v>
      </c>
      <c r="N2" s="10">
        <v>3920</v>
      </c>
      <c r="O2" s="7">
        <f>ROUND(M2-N2,0)</f>
        <v>85076</v>
      </c>
      <c r="P2" s="10">
        <f>ROUND($C2+MIN($D2:$E2)*(1-SUMIFS(PrefFlows!$C:$C,PrefFlows!$A:$A,INDEX($D$1:$E$1,MATCH(MIN($D2:$E2),$D2:$E2,0)),PrefFlows!$B:$B,$B2)),2)</f>
        <v>41.92</v>
      </c>
      <c r="Q2" s="10">
        <f>ROUND(MAX($D2:$E2)+MIN($D2:$E2)*SUMIFS(PrefFlows!$C:$C,PrefFlows!$A:$A,INDEX($D$1:$E$1,MATCH(MIN($D2:$E2),$D2:$E2,0)),PrefFlows!$B:$B,$B2),2)</f>
        <v>45.29</v>
      </c>
      <c r="R2" s="10">
        <f>ROUND(G2,2)</f>
        <v>0</v>
      </c>
      <c r="S2" s="10">
        <f>ROUND(H2,2)</f>
        <v>7.99</v>
      </c>
      <c r="T2" s="7">
        <f>ROUND(J2,2)</f>
        <v>4.8</v>
      </c>
      <c r="U2" s="9">
        <f>ROUND(Q2-P2,2)</f>
        <v>3.37</v>
      </c>
      <c r="V2" s="10">
        <f>ROUND($R2*SUMIFS(PrefFlows!$C:$C,PrefFlows!$A:$A,$R$1,PrefFlows!$B:$B,$B2)+$S2*SUMIFS(PrefFlows!$C:$C,PrefFlows!$A:$A,$S$1,PrefFlows!$B:$B,$B2)+$T2*SUMIFS(PrefFlows!$C:$C,PrefFlows!$A:$A,$T$1,PrefFlows!$B:$B,$B2),2)</f>
        <v>4.12</v>
      </c>
      <c r="W2" s="7">
        <f>ROUND($R2*(1-SUMIFS(PrefFlows!$C:$C,PrefFlows!$A:$A,$R$1,PrefFlows!$B:$B,$B2))+$S2*(1-SUMIFS(PrefFlows!$C:$C,PrefFlows!$A:$A,$S$1,PrefFlows!$B:$B,$B2))+$T2*(1-SUMIFS(PrefFlows!$C:$C,PrefFlows!$A:$A,$T$1,PrefFlows!$B:$B,$B2)),2)</f>
        <v>8.67</v>
      </c>
      <c r="X2" s="10">
        <f>ROUND(K2-Q2,2)</f>
        <v>3.38</v>
      </c>
      <c r="Y2" s="7">
        <f>ROUND(L2-P2,2)</f>
        <v>9.41</v>
      </c>
      <c r="Z2" s="10">
        <f>ROUND(V2/SUM(V2:W2),4)</f>
        <v>0.3221</v>
      </c>
      <c r="AA2" s="10">
        <f>ROUND(X2/SUM(X2:Y2),4)</f>
        <v>0.26429999999999998</v>
      </c>
      <c r="AB2" s="10">
        <f>ROUND(AA2-Z2,4)</f>
        <v>-5.7799999999999997E-2</v>
      </c>
      <c r="AC2" s="7">
        <v>-5.87157557055666E-2</v>
      </c>
      <c r="AD2" s="10">
        <f>ROUND(R2*(1-(Exhaust!$B$2+AC2)),2)</f>
        <v>0</v>
      </c>
      <c r="AE2" s="10">
        <f>ROUND(S2*(1-(Exhaust!$B$3+$AC2)),2)</f>
        <v>5.26</v>
      </c>
      <c r="AF2" s="7">
        <f>ROUND(T2*(1-(Exhaust!$B$4+$AC2)),2)</f>
        <v>2.68</v>
      </c>
      <c r="AG2" s="10">
        <f>ROUND($AD2*(SUMIFS(PrefFlows!$C:$C,PrefFlows!$A:$A,$R$1,PrefFlows!$B:$B,$B2)+$AB2)+$AE2*(SUMIFS(PrefFlows!$C:$C,PrefFlows!$A:$A,$S$1,PrefFlows!$B:$B,$B2)+$AB2)+$AF2*(SUMIFS(PrefFlows!$C:$C,PrefFlows!$A:$A,$T$1,PrefFlows!$B:$B,$B2)+$AB2),2)</f>
        <v>2.0099999999999998</v>
      </c>
      <c r="AH2" s="7">
        <f>ROUND($AD2*(1-(SUMIFS(PrefFlows!$C:$C,PrefFlows!$A:$A,$R$1,PrefFlows!$B:$B,$B2)+$AB2))+$AE2*(1-(SUMIFS(PrefFlows!$C:$C,PrefFlows!$A:$A,$S$1,PrefFlows!$B:$B,$B2)+$AB2))+$AF2*(1-(SUMIFS(PrefFlows!$C:$C,PrefFlows!$A:$A,$T$1,PrefFlows!$B:$B,$B2)+$AB2)),2)</f>
        <v>5.93</v>
      </c>
      <c r="AI2" s="10">
        <f>ROUND(Q2+AG2,2)</f>
        <v>47.3</v>
      </c>
      <c r="AJ2" s="7">
        <f>ROUND(P2+AH2,2)</f>
        <v>47.85</v>
      </c>
      <c r="AK2" s="10">
        <f>ROUND(AI2/SUM($AI2:$AJ2)*100,2)</f>
        <v>49.71</v>
      </c>
      <c r="AL2" s="7">
        <f>ROUND(AJ2/SUM($AI2:$AJ2)*100,2)</f>
        <v>50.29</v>
      </c>
      <c r="AM2" s="1">
        <f t="shared" ref="AM2:AM33" si="0">ROUND(K2-50,2)</f>
        <v>-1.33</v>
      </c>
      <c r="AN2" s="1">
        <f t="shared" ref="AN2:AN33" si="1">ROUND((Q2+X2*0.52)/((Q2+X2*0.52)+(P2+Y2*0.52))*100-50,2)</f>
        <v>0.12</v>
      </c>
      <c r="AO2" s="7">
        <f t="shared" ref="AO2:AO33" si="2">ROUND(AK2-50,2)</f>
        <v>-0.28999999999999998</v>
      </c>
      <c r="AP2" s="1" t="b">
        <f>$AM2/AN2&lt;0</f>
        <v>1</v>
      </c>
      <c r="AQ2" s="1" t="b">
        <f>$AM2/AO2&lt;0</f>
        <v>0</v>
      </c>
      <c r="AR2" s="7" t="b">
        <f>AN2/AO2&lt;0</f>
        <v>1</v>
      </c>
      <c r="AS2" s="1">
        <f>(AN2-$AM2)</f>
        <v>1.4500000000000002</v>
      </c>
      <c r="AT2" s="1">
        <f>(AO2-$AM2)</f>
        <v>1.04</v>
      </c>
      <c r="AU2" s="7">
        <f>ABS(AO2-$AN2)</f>
        <v>0.41</v>
      </c>
      <c r="AV2" s="1">
        <f>ROUND(IF(B2="NSW",N2*Meta!$B$6,N2),1)</f>
        <v>3920</v>
      </c>
      <c r="AW2" s="7">
        <f t="shared" ref="AW2:AW33" si="3">ROUND((M2-AV2*($AV$153/$AV$152))*SUM($AI2:$AJ2)/100,1)</f>
        <v>82387.7</v>
      </c>
    </row>
    <row r="3" spans="1:50" x14ac:dyDescent="0.55000000000000004">
      <c r="A3" s="11" t="s">
        <v>9</v>
      </c>
      <c r="B3" s="7" t="s">
        <v>10</v>
      </c>
      <c r="C3" s="10">
        <v>31.17</v>
      </c>
      <c r="D3" s="10">
        <v>58.55</v>
      </c>
      <c r="E3" s="10">
        <v>0</v>
      </c>
      <c r="F3" s="10">
        <v>1.23</v>
      </c>
      <c r="G3" s="10">
        <v>0</v>
      </c>
      <c r="H3" s="10">
        <v>4.8600000000000003</v>
      </c>
      <c r="I3" s="10">
        <v>4.1900000000000004</v>
      </c>
      <c r="J3" s="7">
        <f t="shared" ref="J3:J66" si="4">ROUND(F3+I3-G3,2)</f>
        <v>5.42</v>
      </c>
      <c r="K3" s="10">
        <v>63.15</v>
      </c>
      <c r="L3" s="7">
        <v>36.85</v>
      </c>
      <c r="M3" s="10">
        <v>85015</v>
      </c>
      <c r="N3" s="10">
        <v>3570</v>
      </c>
      <c r="O3" s="7">
        <f t="shared" ref="O3:O66" si="5">ROUND(M3-N3,0)</f>
        <v>81445</v>
      </c>
      <c r="P3" s="10">
        <f>ROUND($C3+MIN($D3:$E3)*(1-SUMIFS(PrefFlows!$C:$C,PrefFlows!$A:$A,INDEX($D$1:$E$1,MATCH(MIN($D3:$E3),$D3:$E3,0)),PrefFlows!$B:$B,$B3)),2)</f>
        <v>31.17</v>
      </c>
      <c r="Q3" s="10">
        <f>ROUND(MAX($D3:$E3)+MIN($D3:$E3)*SUMIFS(PrefFlows!$C:$C,PrefFlows!$A:$A,INDEX($D$1:$E$1,MATCH(MIN($D3:$E3),$D3:$E3,0)),PrefFlows!$B:$B,$B3),2)</f>
        <v>58.55</v>
      </c>
      <c r="R3" s="10">
        <f t="shared" ref="R3:R66" si="6">ROUND(G3,2)</f>
        <v>0</v>
      </c>
      <c r="S3" s="10">
        <f t="shared" ref="S3:S66" si="7">ROUND(H3,2)</f>
        <v>4.8600000000000003</v>
      </c>
      <c r="T3" s="7">
        <f t="shared" ref="T3:T66" si="8">ROUND(J3,2)</f>
        <v>5.42</v>
      </c>
      <c r="U3" s="9">
        <f t="shared" ref="U3:U66" si="9">ROUND(Q3-P3,2)</f>
        <v>27.38</v>
      </c>
      <c r="V3" s="10">
        <f>ROUND($R3*SUMIFS(PrefFlows!$C:$C,PrefFlows!$A:$A,$R$1,PrefFlows!$B:$B,$B3)+$S3*SUMIFS(PrefFlows!$C:$C,PrefFlows!$A:$A,$S$1,PrefFlows!$B:$B,$B3)+$T3*SUMIFS(PrefFlows!$C:$C,PrefFlows!$A:$A,$T$1,PrefFlows!$B:$B,$B3),2)</f>
        <v>3.67</v>
      </c>
      <c r="W3" s="7">
        <f>ROUND($R3*(1-SUMIFS(PrefFlows!$C:$C,PrefFlows!$A:$A,$R$1,PrefFlows!$B:$B,$B3))+$S3*(1-SUMIFS(PrefFlows!$C:$C,PrefFlows!$A:$A,$S$1,PrefFlows!$B:$B,$B3))+$T3*(1-SUMIFS(PrefFlows!$C:$C,PrefFlows!$A:$A,$T$1,PrefFlows!$B:$B,$B3)),2)</f>
        <v>6.61</v>
      </c>
      <c r="X3" s="10">
        <f t="shared" ref="X3:X66" si="10">ROUND(K3-Q3,2)</f>
        <v>4.5999999999999996</v>
      </c>
      <c r="Y3" s="7">
        <f t="shared" ref="Y3:Y66" si="11">ROUND(L3-P3,2)</f>
        <v>5.68</v>
      </c>
      <c r="Z3" s="10">
        <f t="shared" ref="Z3:Z66" si="12">ROUND(V3/SUM(V3:W3),4)</f>
        <v>0.35699999999999998</v>
      </c>
      <c r="AA3" s="10">
        <f t="shared" ref="AA3:AA66" si="13">ROUND(X3/SUM(X3:Y3),4)</f>
        <v>0.44750000000000001</v>
      </c>
      <c r="AB3" s="10">
        <f t="shared" ref="AB3:AB66" si="14">ROUND(AA3-Z3,4)</f>
        <v>9.0499999999999997E-2</v>
      </c>
      <c r="AC3" s="7">
        <v>2.26662820720125E-2</v>
      </c>
      <c r="AD3" s="10">
        <f>ROUND(R3*(1-(Exhaust!$B$2+AC3)),2)</f>
        <v>0</v>
      </c>
      <c r="AE3" s="10">
        <f>ROUND(S3*(1-(Exhaust!$B$3+$AC3)),2)</f>
        <v>2.81</v>
      </c>
      <c r="AF3" s="7">
        <f>ROUND(T3*(1-(Exhaust!$B$4+$AC3)),2)</f>
        <v>2.59</v>
      </c>
      <c r="AG3" s="10">
        <f>ROUND($AD3*(SUMIFS(PrefFlows!$C:$C,PrefFlows!$A:$A,$R$1,PrefFlows!$B:$B,$B3)+$AB3)+$AE3*(SUMIFS(PrefFlows!$C:$C,PrefFlows!$A:$A,$S$1,PrefFlows!$B:$B,$B3)+$AB3)+$AF3*(SUMIFS(PrefFlows!$C:$C,PrefFlows!$A:$A,$T$1,PrefFlows!$B:$B,$B3)+$AB3),2)</f>
        <v>2.3199999999999998</v>
      </c>
      <c r="AH3" s="7">
        <f>ROUND($AD3*(1-(SUMIFS(PrefFlows!$C:$C,PrefFlows!$A:$A,$R$1,PrefFlows!$B:$B,$B3)+$AB3))+$AE3*(1-(SUMIFS(PrefFlows!$C:$C,PrefFlows!$A:$A,$S$1,PrefFlows!$B:$B,$B3)+$AB3))+$AF3*(1-(SUMIFS(PrefFlows!$C:$C,PrefFlows!$A:$A,$T$1,PrefFlows!$B:$B,$B3)+$AB3)),2)</f>
        <v>3.08</v>
      </c>
      <c r="AI3" s="10">
        <f t="shared" ref="AI3:AI66" si="15">ROUND(Q3+AG3,2)</f>
        <v>60.87</v>
      </c>
      <c r="AJ3" s="7">
        <f t="shared" ref="AJ3:AJ66" si="16">ROUND(P3+AH3,2)</f>
        <v>34.25</v>
      </c>
      <c r="AK3" s="10">
        <f t="shared" ref="AK3:AL66" si="17">ROUND(AI3/SUM($AI3:$AJ3)*100,2)</f>
        <v>63.99</v>
      </c>
      <c r="AL3" s="7">
        <f t="shared" si="17"/>
        <v>36.01</v>
      </c>
      <c r="AM3" s="1">
        <f t="shared" si="0"/>
        <v>13.15</v>
      </c>
      <c r="AN3" s="1">
        <f t="shared" si="1"/>
        <v>14.11</v>
      </c>
      <c r="AO3" s="7">
        <f t="shared" si="2"/>
        <v>13.99</v>
      </c>
      <c r="AP3" s="1" t="b">
        <f t="shared" ref="AP3:AQ66" si="18">$AM3/AN3&lt;0</f>
        <v>0</v>
      </c>
      <c r="AQ3" s="1" t="b">
        <f t="shared" si="18"/>
        <v>0</v>
      </c>
      <c r="AR3" s="7" t="b">
        <f t="shared" ref="AR3:AR66" si="19">AN3/AO3&lt;0</f>
        <v>0</v>
      </c>
      <c r="AS3" s="1">
        <f t="shared" ref="AS3:AT66" si="20">(AN3-$AM3)</f>
        <v>0.95999999999999908</v>
      </c>
      <c r="AT3" s="1">
        <f t="shared" si="20"/>
        <v>0.83999999999999986</v>
      </c>
      <c r="AU3" s="7">
        <f t="shared" ref="AU3:AU66" si="21">ABS(AO3-$AN3)</f>
        <v>0.11999999999999922</v>
      </c>
      <c r="AV3" s="1">
        <f>ROUND(IF(B3="NSW",N3*Meta!$B$6,N3),1)</f>
        <v>3570</v>
      </c>
      <c r="AW3" s="7">
        <f t="shared" si="3"/>
        <v>78779.600000000006</v>
      </c>
    </row>
    <row r="4" spans="1:50" x14ac:dyDescent="0.55000000000000004">
      <c r="A4" s="11" t="s">
        <v>11</v>
      </c>
      <c r="B4" s="7" t="s">
        <v>10</v>
      </c>
      <c r="C4" s="10">
        <v>45</v>
      </c>
      <c r="D4" s="10">
        <v>44.57</v>
      </c>
      <c r="E4" s="10">
        <v>0</v>
      </c>
      <c r="F4" s="10">
        <v>0</v>
      </c>
      <c r="G4" s="10">
        <v>0</v>
      </c>
      <c r="H4" s="10">
        <v>6.73</v>
      </c>
      <c r="I4" s="10">
        <v>3.7</v>
      </c>
      <c r="J4" s="7">
        <f t="shared" si="4"/>
        <v>3.7</v>
      </c>
      <c r="K4" s="10">
        <v>47.77</v>
      </c>
      <c r="L4" s="7">
        <v>52.23</v>
      </c>
      <c r="M4" s="10">
        <v>86753</v>
      </c>
      <c r="N4" s="10">
        <v>2901</v>
      </c>
      <c r="O4" s="7">
        <f t="shared" si="5"/>
        <v>83852</v>
      </c>
      <c r="P4" s="10">
        <f>ROUND($C4+MIN($D4:$E4)*(1-SUMIFS(PrefFlows!$C:$C,PrefFlows!$A:$A,INDEX($D$1:$E$1,MATCH(MIN($D4:$E4),$D4:$E4,0)),PrefFlows!$B:$B,$B4)),2)</f>
        <v>45</v>
      </c>
      <c r="Q4" s="10">
        <f>ROUND(MAX($D4:$E4)+MIN($D4:$E4)*SUMIFS(PrefFlows!$C:$C,PrefFlows!$A:$A,INDEX($D$1:$E$1,MATCH(MIN($D4:$E4),$D4:$E4,0)),PrefFlows!$B:$B,$B4),2)</f>
        <v>44.57</v>
      </c>
      <c r="R4" s="10">
        <f t="shared" si="6"/>
        <v>0</v>
      </c>
      <c r="S4" s="10">
        <f t="shared" si="7"/>
        <v>6.73</v>
      </c>
      <c r="T4" s="7">
        <f t="shared" si="8"/>
        <v>3.7</v>
      </c>
      <c r="U4" s="9">
        <f t="shared" si="9"/>
        <v>-0.43</v>
      </c>
      <c r="V4" s="10">
        <f>ROUND($R4*SUMIFS(PrefFlows!$C:$C,PrefFlows!$A:$A,$R$1,PrefFlows!$B:$B,$B4)+$S4*SUMIFS(PrefFlows!$C:$C,PrefFlows!$A:$A,$S$1,PrefFlows!$B:$B,$B4)+$T4*SUMIFS(PrefFlows!$C:$C,PrefFlows!$A:$A,$T$1,PrefFlows!$B:$B,$B4),2)</f>
        <v>3.08</v>
      </c>
      <c r="W4" s="7">
        <f>ROUND($R4*(1-SUMIFS(PrefFlows!$C:$C,PrefFlows!$A:$A,$R$1,PrefFlows!$B:$B,$B4))+$S4*(1-SUMIFS(PrefFlows!$C:$C,PrefFlows!$A:$A,$S$1,PrefFlows!$B:$B,$B4))+$T4*(1-SUMIFS(PrefFlows!$C:$C,PrefFlows!$A:$A,$T$1,PrefFlows!$B:$B,$B4)),2)</f>
        <v>7.35</v>
      </c>
      <c r="X4" s="10">
        <f t="shared" si="10"/>
        <v>3.2</v>
      </c>
      <c r="Y4" s="7">
        <f t="shared" si="11"/>
        <v>7.23</v>
      </c>
      <c r="Z4" s="10">
        <f t="shared" si="12"/>
        <v>0.29530000000000001</v>
      </c>
      <c r="AA4" s="10">
        <f t="shared" si="13"/>
        <v>0.30680000000000002</v>
      </c>
      <c r="AB4" s="10">
        <f t="shared" si="14"/>
        <v>1.15E-2</v>
      </c>
      <c r="AC4" s="7">
        <v>-7.3754883791427805E-2</v>
      </c>
      <c r="AD4" s="10">
        <f>ROUND(R4*(1-(Exhaust!$B$2+AC4)),2)</f>
        <v>0</v>
      </c>
      <c r="AE4" s="10">
        <f>ROUND(S4*(1-(Exhaust!$B$3+$AC4)),2)</f>
        <v>4.53</v>
      </c>
      <c r="AF4" s="7">
        <f>ROUND(T4*(1-(Exhaust!$B$4+$AC4)),2)</f>
        <v>2.12</v>
      </c>
      <c r="AG4" s="10">
        <f>ROUND($AD4*(SUMIFS(PrefFlows!$C:$C,PrefFlows!$A:$A,$R$1,PrefFlows!$B:$B,$B4)+$AB4)+$AE4*(SUMIFS(PrefFlows!$C:$C,PrefFlows!$A:$A,$S$1,PrefFlows!$B:$B,$B4)+$AB4)+$AF4*(SUMIFS(PrefFlows!$C:$C,PrefFlows!$A:$A,$T$1,PrefFlows!$B:$B,$B4)+$AB4),2)</f>
        <v>1.95</v>
      </c>
      <c r="AH4" s="7">
        <f>ROUND($AD4*(1-(SUMIFS(PrefFlows!$C:$C,PrefFlows!$A:$A,$R$1,PrefFlows!$B:$B,$B4)+$AB4))+$AE4*(1-(SUMIFS(PrefFlows!$C:$C,PrefFlows!$A:$A,$S$1,PrefFlows!$B:$B,$B4)+$AB4))+$AF4*(1-(SUMIFS(PrefFlows!$C:$C,PrefFlows!$A:$A,$T$1,PrefFlows!$B:$B,$B4)+$AB4)),2)</f>
        <v>4.7</v>
      </c>
      <c r="AI4" s="10">
        <f t="shared" si="15"/>
        <v>46.52</v>
      </c>
      <c r="AJ4" s="7">
        <f t="shared" si="16"/>
        <v>49.7</v>
      </c>
      <c r="AK4" s="10">
        <f t="shared" si="17"/>
        <v>48.35</v>
      </c>
      <c r="AL4" s="7">
        <f t="shared" si="17"/>
        <v>51.65</v>
      </c>
      <c r="AM4" s="1">
        <f t="shared" si="0"/>
        <v>-2.23</v>
      </c>
      <c r="AN4" s="1">
        <f t="shared" si="1"/>
        <v>-1.33</v>
      </c>
      <c r="AO4" s="7">
        <f t="shared" si="2"/>
        <v>-1.65</v>
      </c>
      <c r="AP4" s="1" t="b">
        <f t="shared" si="18"/>
        <v>0</v>
      </c>
      <c r="AQ4" s="1" t="b">
        <f t="shared" si="18"/>
        <v>0</v>
      </c>
      <c r="AR4" s="7" t="b">
        <f t="shared" si="19"/>
        <v>0</v>
      </c>
      <c r="AS4" s="1">
        <f t="shared" si="20"/>
        <v>0.89999999999999991</v>
      </c>
      <c r="AT4" s="1">
        <f t="shared" si="20"/>
        <v>0.58000000000000007</v>
      </c>
      <c r="AU4" s="7">
        <f t="shared" si="21"/>
        <v>0.31999999999999984</v>
      </c>
      <c r="AV4" s="1">
        <f>ROUND(IF(B4="NSW",N4*Meta!$B$6,N4),1)</f>
        <v>2901</v>
      </c>
      <c r="AW4" s="7">
        <f t="shared" si="3"/>
        <v>81758.5</v>
      </c>
    </row>
    <row r="5" spans="1:50" x14ac:dyDescent="0.55000000000000004">
      <c r="A5" s="11" t="s">
        <v>12</v>
      </c>
      <c r="B5" s="7" t="s">
        <v>13</v>
      </c>
      <c r="C5" s="10">
        <v>44.61</v>
      </c>
      <c r="D5" s="10">
        <v>42.15</v>
      </c>
      <c r="E5" s="10">
        <v>0</v>
      </c>
      <c r="F5" s="10">
        <v>0.92</v>
      </c>
      <c r="G5" s="10">
        <v>3.14</v>
      </c>
      <c r="H5" s="10">
        <v>4.68</v>
      </c>
      <c r="I5" s="10">
        <v>7.64</v>
      </c>
      <c r="J5" s="7">
        <f t="shared" si="4"/>
        <v>5.42</v>
      </c>
      <c r="K5" s="10">
        <v>48.94</v>
      </c>
      <c r="L5" s="7">
        <v>51.06</v>
      </c>
      <c r="M5" s="10">
        <v>79200</v>
      </c>
      <c r="N5" s="10">
        <v>5818</v>
      </c>
      <c r="O5" s="7">
        <f t="shared" si="5"/>
        <v>73382</v>
      </c>
      <c r="P5" s="10">
        <f>ROUND($C5+MIN($D5:$E5)*(1-SUMIFS(PrefFlows!$C:$C,PrefFlows!$A:$A,INDEX($D$1:$E$1,MATCH(MIN($D5:$E5),$D5:$E5,0)),PrefFlows!$B:$B,$B5)),2)</f>
        <v>44.61</v>
      </c>
      <c r="Q5" s="10">
        <f>ROUND(MAX($D5:$E5)+MIN($D5:$E5)*SUMIFS(PrefFlows!$C:$C,PrefFlows!$A:$A,INDEX($D$1:$E$1,MATCH(MIN($D5:$E5),$D5:$E5,0)),PrefFlows!$B:$B,$B5),2)</f>
        <v>42.15</v>
      </c>
      <c r="R5" s="10">
        <f t="shared" si="6"/>
        <v>3.14</v>
      </c>
      <c r="S5" s="10">
        <f t="shared" si="7"/>
        <v>4.68</v>
      </c>
      <c r="T5" s="7">
        <f t="shared" si="8"/>
        <v>5.42</v>
      </c>
      <c r="U5" s="9">
        <f t="shared" si="9"/>
        <v>-2.46</v>
      </c>
      <c r="V5" s="10">
        <f>ROUND($R5*SUMIFS(PrefFlows!$C:$C,PrefFlows!$A:$A,$R$1,PrefFlows!$B:$B,$B5)+$S5*SUMIFS(PrefFlows!$C:$C,PrefFlows!$A:$A,$S$1,PrefFlows!$B:$B,$B5)+$T5*SUMIFS(PrefFlows!$C:$C,PrefFlows!$A:$A,$T$1,PrefFlows!$B:$B,$B5),2)</f>
        <v>5.35</v>
      </c>
      <c r="W5" s="7">
        <f>ROUND($R5*(1-SUMIFS(PrefFlows!$C:$C,PrefFlows!$A:$A,$R$1,PrefFlows!$B:$B,$B5))+$S5*(1-SUMIFS(PrefFlows!$C:$C,PrefFlows!$A:$A,$S$1,PrefFlows!$B:$B,$B5))+$T5*(1-SUMIFS(PrefFlows!$C:$C,PrefFlows!$A:$A,$T$1,PrefFlows!$B:$B,$B5)),2)</f>
        <v>7.89</v>
      </c>
      <c r="X5" s="10">
        <f t="shared" si="10"/>
        <v>6.79</v>
      </c>
      <c r="Y5" s="7">
        <f t="shared" si="11"/>
        <v>6.45</v>
      </c>
      <c r="Z5" s="10">
        <f t="shared" si="12"/>
        <v>0.40410000000000001</v>
      </c>
      <c r="AA5" s="10">
        <f t="shared" si="13"/>
        <v>0.51280000000000003</v>
      </c>
      <c r="AB5" s="10">
        <f t="shared" si="14"/>
        <v>0.1087</v>
      </c>
      <c r="AC5" s="7">
        <v>6.4040519448955294E-2</v>
      </c>
      <c r="AD5" s="10">
        <f>ROUND(R5*(1-(Exhaust!$B$2+AC5)),2)</f>
        <v>1.18</v>
      </c>
      <c r="AE5" s="10">
        <f>ROUND(S5*(1-(Exhaust!$B$3+$AC5)),2)</f>
        <v>2.5099999999999998</v>
      </c>
      <c r="AF5" s="7">
        <f>ROUND(T5*(1-(Exhaust!$B$4+$AC5)),2)</f>
        <v>2.36</v>
      </c>
      <c r="AG5" s="10">
        <f>ROUND($AD5*(SUMIFS(PrefFlows!$C:$C,PrefFlows!$A:$A,$R$1,PrefFlows!$B:$B,$B5)+$AB5)+$AE5*(SUMIFS(PrefFlows!$C:$C,PrefFlows!$A:$A,$S$1,PrefFlows!$B:$B,$B5)+$AB5)+$AF5*(SUMIFS(PrefFlows!$C:$C,PrefFlows!$A:$A,$T$1,PrefFlows!$B:$B,$B5)+$AB5),2)</f>
        <v>2.97</v>
      </c>
      <c r="AH5" s="7">
        <f>ROUND($AD5*(1-(SUMIFS(PrefFlows!$C:$C,PrefFlows!$A:$A,$R$1,PrefFlows!$B:$B,$B5)+$AB5))+$AE5*(1-(SUMIFS(PrefFlows!$C:$C,PrefFlows!$A:$A,$S$1,PrefFlows!$B:$B,$B5)+$AB5))+$AF5*(1-(SUMIFS(PrefFlows!$C:$C,PrefFlows!$A:$A,$T$1,PrefFlows!$B:$B,$B5)+$AB5)),2)</f>
        <v>3.08</v>
      </c>
      <c r="AI5" s="10">
        <f t="shared" si="15"/>
        <v>45.12</v>
      </c>
      <c r="AJ5" s="7">
        <f t="shared" si="16"/>
        <v>47.69</v>
      </c>
      <c r="AK5" s="10">
        <f t="shared" si="17"/>
        <v>48.62</v>
      </c>
      <c r="AL5" s="7">
        <f t="shared" si="17"/>
        <v>51.38</v>
      </c>
      <c r="AM5" s="1">
        <f t="shared" si="0"/>
        <v>-1.06</v>
      </c>
      <c r="AN5" s="1">
        <f t="shared" si="1"/>
        <v>-1.22</v>
      </c>
      <c r="AO5" s="7">
        <f t="shared" si="2"/>
        <v>-1.38</v>
      </c>
      <c r="AP5" s="1" t="b">
        <f t="shared" si="18"/>
        <v>0</v>
      </c>
      <c r="AQ5" s="1" t="b">
        <f t="shared" si="18"/>
        <v>0</v>
      </c>
      <c r="AR5" s="7" t="b">
        <f t="shared" si="19"/>
        <v>0</v>
      </c>
      <c r="AS5" s="1">
        <f t="shared" si="20"/>
        <v>-0.15999999999999992</v>
      </c>
      <c r="AT5" s="1">
        <f t="shared" si="20"/>
        <v>-0.31999999999999984</v>
      </c>
      <c r="AU5" s="7">
        <f t="shared" si="21"/>
        <v>0.15999999999999992</v>
      </c>
      <c r="AV5" s="1">
        <f>ROUND(IF(B5="NSW",N5*Meta!$B$6,N5),1)</f>
        <v>3898.1</v>
      </c>
      <c r="AW5" s="7">
        <f t="shared" si="3"/>
        <v>71282.399999999994</v>
      </c>
    </row>
    <row r="6" spans="1:50" x14ac:dyDescent="0.55000000000000004">
      <c r="A6" s="11" t="s">
        <v>14</v>
      </c>
      <c r="B6" s="7" t="s">
        <v>8</v>
      </c>
      <c r="C6" s="10">
        <v>21.47</v>
      </c>
      <c r="D6" s="10">
        <v>53.17</v>
      </c>
      <c r="E6" s="10">
        <v>10.59</v>
      </c>
      <c r="F6" s="10">
        <v>1.48</v>
      </c>
      <c r="G6" s="10">
        <v>1.65</v>
      </c>
      <c r="H6" s="10">
        <v>4.08</v>
      </c>
      <c r="I6" s="10">
        <v>9.2100000000000009</v>
      </c>
      <c r="J6" s="7">
        <f t="shared" si="4"/>
        <v>9.0399999999999991</v>
      </c>
      <c r="K6" s="10">
        <v>69.88</v>
      </c>
      <c r="L6" s="7">
        <v>30.12</v>
      </c>
      <c r="M6" s="10">
        <v>96376</v>
      </c>
      <c r="N6" s="10">
        <v>5662</v>
      </c>
      <c r="O6" s="7">
        <f t="shared" si="5"/>
        <v>90714</v>
      </c>
      <c r="P6" s="10">
        <f>ROUND($C6+MIN($D6:$E6)*(1-SUMIFS(PrefFlows!$C:$C,PrefFlows!$A:$A,INDEX($D$1:$E$1,MATCH(MIN($D6:$E6),$D6:$E6,0)),PrefFlows!$B:$B,$B6)),2)</f>
        <v>23.55</v>
      </c>
      <c r="Q6" s="10">
        <f>ROUND(MAX($D6:$E6)+MIN($D6:$E6)*SUMIFS(PrefFlows!$C:$C,PrefFlows!$A:$A,INDEX($D$1:$E$1,MATCH(MIN($D6:$E6),$D6:$E6,0)),PrefFlows!$B:$B,$B6),2)</f>
        <v>61.68</v>
      </c>
      <c r="R6" s="10">
        <f t="shared" si="6"/>
        <v>1.65</v>
      </c>
      <c r="S6" s="10">
        <f t="shared" si="7"/>
        <v>4.08</v>
      </c>
      <c r="T6" s="7">
        <f t="shared" si="8"/>
        <v>9.0399999999999991</v>
      </c>
      <c r="U6" s="9">
        <f t="shared" si="9"/>
        <v>38.130000000000003</v>
      </c>
      <c r="V6" s="10">
        <f>ROUND($R6*SUMIFS(PrefFlows!$C:$C,PrefFlows!$A:$A,$R$1,PrefFlows!$B:$B,$B6)+$S6*SUMIFS(PrefFlows!$C:$C,PrefFlows!$A:$A,$S$1,PrefFlows!$B:$B,$B6)+$T6*SUMIFS(PrefFlows!$C:$C,PrefFlows!$A:$A,$T$1,PrefFlows!$B:$B,$B6),2)</f>
        <v>6.39</v>
      </c>
      <c r="W6" s="7">
        <f>ROUND($R6*(1-SUMIFS(PrefFlows!$C:$C,PrefFlows!$A:$A,$R$1,PrefFlows!$B:$B,$B6))+$S6*(1-SUMIFS(PrefFlows!$C:$C,PrefFlows!$A:$A,$S$1,PrefFlows!$B:$B,$B6))+$T6*(1-SUMIFS(PrefFlows!$C:$C,PrefFlows!$A:$A,$T$1,PrefFlows!$B:$B,$B6)),2)</f>
        <v>8.3800000000000008</v>
      </c>
      <c r="X6" s="10">
        <f t="shared" si="10"/>
        <v>8.1999999999999993</v>
      </c>
      <c r="Y6" s="7">
        <f t="shared" si="11"/>
        <v>6.57</v>
      </c>
      <c r="Z6" s="10">
        <f t="shared" si="12"/>
        <v>0.43259999999999998</v>
      </c>
      <c r="AA6" s="10">
        <f t="shared" si="13"/>
        <v>0.55520000000000003</v>
      </c>
      <c r="AB6" s="10">
        <f t="shared" si="14"/>
        <v>0.1226</v>
      </c>
      <c r="AC6" s="7">
        <v>4.0756510532953698E-2</v>
      </c>
      <c r="AD6" s="10">
        <f>ROUND(R6*(1-(Exhaust!$B$2+AC6)),2)</f>
        <v>0.66</v>
      </c>
      <c r="AE6" s="10">
        <f>ROUND(S6*(1-(Exhaust!$B$3+$AC6)),2)</f>
        <v>2.2799999999999998</v>
      </c>
      <c r="AF6" s="7">
        <f>ROUND(T6*(1-(Exhaust!$B$4+$AC6)),2)</f>
        <v>4.1500000000000004</v>
      </c>
      <c r="AG6" s="10">
        <f>ROUND($AD6*(SUMIFS(PrefFlows!$C:$C,PrefFlows!$A:$A,$R$1,PrefFlows!$B:$B,$B6)+$AB6)+$AE6*(SUMIFS(PrefFlows!$C:$C,PrefFlows!$A:$A,$S$1,PrefFlows!$B:$B,$B6)+$AB6)+$AF6*(SUMIFS(PrefFlows!$C:$C,PrefFlows!$A:$A,$T$1,PrefFlows!$B:$B,$B6)+$AB6),2)</f>
        <v>3.83</v>
      </c>
      <c r="AH6" s="7">
        <f>ROUND($AD6*(1-(SUMIFS(PrefFlows!$C:$C,PrefFlows!$A:$A,$R$1,PrefFlows!$B:$B,$B6)+$AB6))+$AE6*(1-(SUMIFS(PrefFlows!$C:$C,PrefFlows!$A:$A,$S$1,PrefFlows!$B:$B,$B6)+$AB6))+$AF6*(1-(SUMIFS(PrefFlows!$C:$C,PrefFlows!$A:$A,$T$1,PrefFlows!$B:$B,$B6)+$AB6)),2)</f>
        <v>3.26</v>
      </c>
      <c r="AI6" s="10">
        <f t="shared" si="15"/>
        <v>65.510000000000005</v>
      </c>
      <c r="AJ6" s="7">
        <f t="shared" si="16"/>
        <v>26.81</v>
      </c>
      <c r="AK6" s="10">
        <f t="shared" si="17"/>
        <v>70.959999999999994</v>
      </c>
      <c r="AL6" s="7">
        <f t="shared" si="17"/>
        <v>29.04</v>
      </c>
      <c r="AM6" s="1">
        <f t="shared" si="0"/>
        <v>19.88</v>
      </c>
      <c r="AN6" s="1">
        <f t="shared" si="1"/>
        <v>20.98</v>
      </c>
      <c r="AO6" s="7">
        <f t="shared" si="2"/>
        <v>20.96</v>
      </c>
      <c r="AP6" s="1" t="b">
        <f t="shared" si="18"/>
        <v>0</v>
      </c>
      <c r="AQ6" s="1" t="b">
        <f t="shared" si="18"/>
        <v>0</v>
      </c>
      <c r="AR6" s="7" t="b">
        <f t="shared" si="19"/>
        <v>0</v>
      </c>
      <c r="AS6" s="1">
        <f t="shared" si="20"/>
        <v>1.1000000000000014</v>
      </c>
      <c r="AT6" s="1">
        <f t="shared" si="20"/>
        <v>1.0800000000000018</v>
      </c>
      <c r="AU6" s="7">
        <f t="shared" si="21"/>
        <v>1.9999999999999574E-2</v>
      </c>
      <c r="AV6" s="1">
        <f>ROUND(IF(B6="NSW",N6*Meta!$B$6,N6),1)</f>
        <v>5662</v>
      </c>
      <c r="AW6" s="7">
        <f t="shared" si="3"/>
        <v>85762.3</v>
      </c>
    </row>
    <row r="7" spans="1:50" x14ac:dyDescent="0.55000000000000004">
      <c r="A7" s="11" t="s">
        <v>15</v>
      </c>
      <c r="B7" s="7" t="s">
        <v>13</v>
      </c>
      <c r="C7" s="10">
        <v>49.66</v>
      </c>
      <c r="D7" s="10">
        <v>39.44</v>
      </c>
      <c r="E7" s="10">
        <v>0</v>
      </c>
      <c r="F7" s="10">
        <v>2.2200000000000002</v>
      </c>
      <c r="G7" s="10">
        <v>1.73</v>
      </c>
      <c r="H7" s="10">
        <v>6.95</v>
      </c>
      <c r="I7" s="10">
        <v>1.73</v>
      </c>
      <c r="J7" s="7">
        <f t="shared" si="4"/>
        <v>2.2200000000000002</v>
      </c>
      <c r="K7" s="10">
        <v>42.46</v>
      </c>
      <c r="L7" s="7">
        <v>57.54</v>
      </c>
      <c r="M7" s="10">
        <v>79892</v>
      </c>
      <c r="N7" s="10">
        <v>5563</v>
      </c>
      <c r="O7" s="7">
        <f t="shared" si="5"/>
        <v>74329</v>
      </c>
      <c r="P7" s="10">
        <f>ROUND($C7+MIN($D7:$E7)*(1-SUMIFS(PrefFlows!$C:$C,PrefFlows!$A:$A,INDEX($D$1:$E$1,MATCH(MIN($D7:$E7),$D7:$E7,0)),PrefFlows!$B:$B,$B7)),2)</f>
        <v>49.66</v>
      </c>
      <c r="Q7" s="10">
        <f>ROUND(MAX($D7:$E7)+MIN($D7:$E7)*SUMIFS(PrefFlows!$C:$C,PrefFlows!$A:$A,INDEX($D$1:$E$1,MATCH(MIN($D7:$E7),$D7:$E7,0)),PrefFlows!$B:$B,$B7),2)</f>
        <v>39.44</v>
      </c>
      <c r="R7" s="10">
        <f t="shared" si="6"/>
        <v>1.73</v>
      </c>
      <c r="S7" s="10">
        <f t="shared" si="7"/>
        <v>6.95</v>
      </c>
      <c r="T7" s="7">
        <f t="shared" si="8"/>
        <v>2.2200000000000002</v>
      </c>
      <c r="U7" s="9">
        <f t="shared" si="9"/>
        <v>-10.220000000000001</v>
      </c>
      <c r="V7" s="10">
        <f>ROUND($R7*SUMIFS(PrefFlows!$C:$C,PrefFlows!$A:$A,$R$1,PrefFlows!$B:$B,$B7)+$S7*SUMIFS(PrefFlows!$C:$C,PrefFlows!$A:$A,$S$1,PrefFlows!$B:$B,$B7)+$T7*SUMIFS(PrefFlows!$C:$C,PrefFlows!$A:$A,$T$1,PrefFlows!$B:$B,$B7),2)</f>
        <v>3.32</v>
      </c>
      <c r="W7" s="7">
        <f>ROUND($R7*(1-SUMIFS(PrefFlows!$C:$C,PrefFlows!$A:$A,$R$1,PrefFlows!$B:$B,$B7))+$S7*(1-SUMIFS(PrefFlows!$C:$C,PrefFlows!$A:$A,$S$1,PrefFlows!$B:$B,$B7))+$T7*(1-SUMIFS(PrefFlows!$C:$C,PrefFlows!$A:$A,$T$1,PrefFlows!$B:$B,$B7)),2)</f>
        <v>7.58</v>
      </c>
      <c r="X7" s="10">
        <f t="shared" si="10"/>
        <v>3.02</v>
      </c>
      <c r="Y7" s="7">
        <f t="shared" si="11"/>
        <v>7.88</v>
      </c>
      <c r="Z7" s="10">
        <f t="shared" si="12"/>
        <v>0.30459999999999998</v>
      </c>
      <c r="AA7" s="10">
        <f t="shared" si="13"/>
        <v>0.27710000000000001</v>
      </c>
      <c r="AB7" s="10">
        <f t="shared" si="14"/>
        <v>-2.75E-2</v>
      </c>
      <c r="AC7" s="7">
        <v>4.7642144443758701E-2</v>
      </c>
      <c r="AD7" s="10">
        <f>ROUND(R7*(1-(Exhaust!$B$2+AC7)),2)</f>
        <v>0.68</v>
      </c>
      <c r="AE7" s="10">
        <f>ROUND(S7*(1-(Exhaust!$B$3+$AC7)),2)</f>
        <v>3.84</v>
      </c>
      <c r="AF7" s="7">
        <f>ROUND(T7*(1-(Exhaust!$B$4+$AC7)),2)</f>
        <v>1</v>
      </c>
      <c r="AG7" s="10">
        <f>ROUND($AD7*(SUMIFS(PrefFlows!$C:$C,PrefFlows!$A:$A,$R$1,PrefFlows!$B:$B,$B7)+$AB7)+$AE7*(SUMIFS(PrefFlows!$C:$C,PrefFlows!$A:$A,$S$1,PrefFlows!$B:$B,$B7)+$AB7)+$AF7*(SUMIFS(PrefFlows!$C:$C,PrefFlows!$A:$A,$T$1,PrefFlows!$B:$B,$B7)+$AB7),2)</f>
        <v>1.42</v>
      </c>
      <c r="AH7" s="7">
        <f>ROUND($AD7*(1-(SUMIFS(PrefFlows!$C:$C,PrefFlows!$A:$A,$R$1,PrefFlows!$B:$B,$B7)+$AB7))+$AE7*(1-(SUMIFS(PrefFlows!$C:$C,PrefFlows!$A:$A,$S$1,PrefFlows!$B:$B,$B7)+$AB7))+$AF7*(1-(SUMIFS(PrefFlows!$C:$C,PrefFlows!$A:$A,$T$1,PrefFlows!$B:$B,$B7)+$AB7)),2)</f>
        <v>4.0999999999999996</v>
      </c>
      <c r="AI7" s="10">
        <f t="shared" si="15"/>
        <v>40.86</v>
      </c>
      <c r="AJ7" s="7">
        <f t="shared" si="16"/>
        <v>53.76</v>
      </c>
      <c r="AK7" s="10">
        <f t="shared" si="17"/>
        <v>43.18</v>
      </c>
      <c r="AL7" s="7">
        <f t="shared" si="17"/>
        <v>56.82</v>
      </c>
      <c r="AM7" s="1">
        <f t="shared" si="0"/>
        <v>-7.54</v>
      </c>
      <c r="AN7" s="1">
        <f t="shared" si="1"/>
        <v>-6.73</v>
      </c>
      <c r="AO7" s="7">
        <f t="shared" si="2"/>
        <v>-6.82</v>
      </c>
      <c r="AP7" s="1" t="b">
        <f t="shared" si="18"/>
        <v>0</v>
      </c>
      <c r="AQ7" s="1" t="b">
        <f t="shared" si="18"/>
        <v>0</v>
      </c>
      <c r="AR7" s="7" t="b">
        <f t="shared" si="19"/>
        <v>0</v>
      </c>
      <c r="AS7" s="1">
        <f t="shared" si="20"/>
        <v>0.80999999999999961</v>
      </c>
      <c r="AT7" s="1">
        <f t="shared" si="20"/>
        <v>0.71999999999999975</v>
      </c>
      <c r="AU7" s="7">
        <f t="shared" si="21"/>
        <v>8.9999999999999858E-2</v>
      </c>
      <c r="AV7" s="1">
        <f>ROUND(IF(B7="NSW",N7*Meta!$B$6,N7),1)</f>
        <v>3727.2</v>
      </c>
      <c r="AW7" s="7">
        <f t="shared" si="3"/>
        <v>73426.7</v>
      </c>
    </row>
    <row r="8" spans="1:50" x14ac:dyDescent="0.55000000000000004">
      <c r="A8" s="11" t="s">
        <v>16</v>
      </c>
      <c r="B8" s="7" t="s">
        <v>17</v>
      </c>
      <c r="C8" s="10">
        <v>39.22</v>
      </c>
      <c r="D8" s="10">
        <v>49.13</v>
      </c>
      <c r="E8" s="10">
        <v>0</v>
      </c>
      <c r="F8" s="10">
        <v>0</v>
      </c>
      <c r="G8" s="10">
        <v>0</v>
      </c>
      <c r="H8" s="10">
        <v>8.1</v>
      </c>
      <c r="I8" s="10">
        <v>3.55</v>
      </c>
      <c r="J8" s="7">
        <f t="shared" si="4"/>
        <v>3.55</v>
      </c>
      <c r="K8" s="10">
        <v>52.63</v>
      </c>
      <c r="L8" s="7">
        <v>47.37</v>
      </c>
      <c r="M8" s="10">
        <v>64973</v>
      </c>
      <c r="N8" s="10">
        <v>2534</v>
      </c>
      <c r="O8" s="7">
        <f t="shared" si="5"/>
        <v>62439</v>
      </c>
      <c r="P8" s="10">
        <f>ROUND($C8+MIN($D8:$E8)*(1-SUMIFS(PrefFlows!$C:$C,PrefFlows!$A:$A,INDEX($D$1:$E$1,MATCH(MIN($D8:$E8),$D8:$E8,0)),PrefFlows!$B:$B,$B8)),2)</f>
        <v>39.22</v>
      </c>
      <c r="Q8" s="10">
        <f>ROUND(MAX($D8:$E8)+MIN($D8:$E8)*SUMIFS(PrefFlows!$C:$C,PrefFlows!$A:$A,INDEX($D$1:$E$1,MATCH(MIN($D8:$E8),$D8:$E8,0)),PrefFlows!$B:$B,$B8),2)</f>
        <v>49.13</v>
      </c>
      <c r="R8" s="10">
        <f t="shared" si="6"/>
        <v>0</v>
      </c>
      <c r="S8" s="10">
        <f t="shared" si="7"/>
        <v>8.1</v>
      </c>
      <c r="T8" s="7">
        <f t="shared" si="8"/>
        <v>3.55</v>
      </c>
      <c r="U8" s="9">
        <f t="shared" si="9"/>
        <v>9.91</v>
      </c>
      <c r="V8" s="10">
        <f>ROUND($R8*SUMIFS(PrefFlows!$C:$C,PrefFlows!$A:$A,$R$1,PrefFlows!$B:$B,$B8)+$S8*SUMIFS(PrefFlows!$C:$C,PrefFlows!$A:$A,$S$1,PrefFlows!$B:$B,$B8)+$T8*SUMIFS(PrefFlows!$C:$C,PrefFlows!$A:$A,$T$1,PrefFlows!$B:$B,$B8),2)</f>
        <v>3.46</v>
      </c>
      <c r="W8" s="7">
        <f>ROUND($R8*(1-SUMIFS(PrefFlows!$C:$C,PrefFlows!$A:$A,$R$1,PrefFlows!$B:$B,$B8))+$S8*(1-SUMIFS(PrefFlows!$C:$C,PrefFlows!$A:$A,$S$1,PrefFlows!$B:$B,$B8))+$T8*(1-SUMIFS(PrefFlows!$C:$C,PrefFlows!$A:$A,$T$1,PrefFlows!$B:$B,$B8)),2)</f>
        <v>8.19</v>
      </c>
      <c r="X8" s="10">
        <f t="shared" si="10"/>
        <v>3.5</v>
      </c>
      <c r="Y8" s="7">
        <f t="shared" si="11"/>
        <v>8.15</v>
      </c>
      <c r="Z8" s="10">
        <f t="shared" si="12"/>
        <v>0.29699999999999999</v>
      </c>
      <c r="AA8" s="10">
        <f t="shared" si="13"/>
        <v>0.3004</v>
      </c>
      <c r="AB8" s="10">
        <f t="shared" si="14"/>
        <v>3.3999999999999998E-3</v>
      </c>
      <c r="AC8" s="7">
        <v>4.7910200372529702E-2</v>
      </c>
      <c r="AD8" s="10">
        <f>ROUND(R8*(1-(Exhaust!$B$2+AC8)),2)</f>
        <v>0</v>
      </c>
      <c r="AE8" s="10">
        <f>ROUND(S8*(1-(Exhaust!$B$3+$AC8)),2)</f>
        <v>4.47</v>
      </c>
      <c r="AF8" s="7">
        <f>ROUND(T8*(1-(Exhaust!$B$4+$AC8)),2)</f>
        <v>1.6</v>
      </c>
      <c r="AG8" s="10">
        <f>ROUND($AD8*(SUMIFS(PrefFlows!$C:$C,PrefFlows!$A:$A,$R$1,PrefFlows!$B:$B,$B8)+$AB8)+$AE8*(SUMIFS(PrefFlows!$C:$C,PrefFlows!$A:$A,$S$1,PrefFlows!$B:$B,$B8)+$AB8)+$AF8*(SUMIFS(PrefFlows!$C:$C,PrefFlows!$A:$A,$T$1,PrefFlows!$B:$B,$B8)+$AB8),2)</f>
        <v>1.74</v>
      </c>
      <c r="AH8" s="7">
        <f>ROUND($AD8*(1-(SUMIFS(PrefFlows!$C:$C,PrefFlows!$A:$A,$R$1,PrefFlows!$B:$B,$B8)+$AB8))+$AE8*(1-(SUMIFS(PrefFlows!$C:$C,PrefFlows!$A:$A,$S$1,PrefFlows!$B:$B,$B8)+$AB8))+$AF8*(1-(SUMIFS(PrefFlows!$C:$C,PrefFlows!$A:$A,$T$1,PrefFlows!$B:$B,$B8)+$AB8)),2)</f>
        <v>4.33</v>
      </c>
      <c r="AI8" s="10">
        <f t="shared" si="15"/>
        <v>50.87</v>
      </c>
      <c r="AJ8" s="7">
        <f t="shared" si="16"/>
        <v>43.55</v>
      </c>
      <c r="AK8" s="10">
        <f t="shared" si="17"/>
        <v>53.88</v>
      </c>
      <c r="AL8" s="7">
        <f t="shared" si="17"/>
        <v>46.12</v>
      </c>
      <c r="AM8" s="1">
        <f t="shared" si="0"/>
        <v>2.63</v>
      </c>
      <c r="AN8" s="1">
        <f t="shared" si="1"/>
        <v>3.97</v>
      </c>
      <c r="AO8" s="7">
        <f t="shared" si="2"/>
        <v>3.88</v>
      </c>
      <c r="AP8" s="1" t="b">
        <f t="shared" si="18"/>
        <v>0</v>
      </c>
      <c r="AQ8" s="1" t="b">
        <f t="shared" si="18"/>
        <v>0</v>
      </c>
      <c r="AR8" s="7" t="b">
        <f t="shared" si="19"/>
        <v>0</v>
      </c>
      <c r="AS8" s="1">
        <f t="shared" si="20"/>
        <v>1.3400000000000003</v>
      </c>
      <c r="AT8" s="1">
        <f t="shared" si="20"/>
        <v>1.25</v>
      </c>
      <c r="AU8" s="7">
        <f t="shared" si="21"/>
        <v>9.0000000000000302E-2</v>
      </c>
      <c r="AV8" s="1">
        <f>ROUND(IF(B8="NSW",N8*Meta!$B$6,N8),1)</f>
        <v>2534</v>
      </c>
      <c r="AW8" s="7">
        <f t="shared" si="3"/>
        <v>59877.3</v>
      </c>
    </row>
    <row r="9" spans="1:50" x14ac:dyDescent="0.55000000000000004">
      <c r="A9" s="11" t="s">
        <v>18</v>
      </c>
      <c r="B9" s="7" t="s">
        <v>10</v>
      </c>
      <c r="C9" s="10">
        <v>55.53</v>
      </c>
      <c r="D9" s="10">
        <v>25.95</v>
      </c>
      <c r="E9" s="10">
        <v>0</v>
      </c>
      <c r="F9" s="10">
        <v>1.46</v>
      </c>
      <c r="G9" s="10">
        <v>0</v>
      </c>
      <c r="H9" s="10">
        <v>13.93</v>
      </c>
      <c r="I9" s="10">
        <v>3.13</v>
      </c>
      <c r="J9" s="7">
        <f t="shared" si="4"/>
        <v>4.59</v>
      </c>
      <c r="K9" s="10">
        <v>28.68</v>
      </c>
      <c r="L9" s="7">
        <v>71.319999999999993</v>
      </c>
      <c r="M9" s="10">
        <v>80230</v>
      </c>
      <c r="N9" s="10">
        <v>4686</v>
      </c>
      <c r="O9" s="7">
        <f t="shared" si="5"/>
        <v>75544</v>
      </c>
      <c r="P9" s="10">
        <f>ROUND($C9+MIN($D9:$E9)*(1-SUMIFS(PrefFlows!$C:$C,PrefFlows!$A:$A,INDEX($D$1:$E$1,MATCH(MIN($D9:$E9),$D9:$E9,0)),PrefFlows!$B:$B,$B9)),2)</f>
        <v>55.53</v>
      </c>
      <c r="Q9" s="10">
        <f>ROUND(MAX($D9:$E9)+MIN($D9:$E9)*SUMIFS(PrefFlows!$C:$C,PrefFlows!$A:$A,INDEX($D$1:$E$1,MATCH(MIN($D9:$E9),$D9:$E9,0)),PrefFlows!$B:$B,$B9),2)</f>
        <v>25.95</v>
      </c>
      <c r="R9" s="10">
        <f t="shared" si="6"/>
        <v>0</v>
      </c>
      <c r="S9" s="10">
        <f t="shared" si="7"/>
        <v>13.93</v>
      </c>
      <c r="T9" s="7">
        <f t="shared" si="8"/>
        <v>4.59</v>
      </c>
      <c r="U9" s="9">
        <f t="shared" si="9"/>
        <v>-29.58</v>
      </c>
      <c r="V9" s="10">
        <f>ROUND($R9*SUMIFS(PrefFlows!$C:$C,PrefFlows!$A:$A,$R$1,PrefFlows!$B:$B,$B9)+$S9*SUMIFS(PrefFlows!$C:$C,PrefFlows!$A:$A,$S$1,PrefFlows!$B:$B,$B9)+$T9*SUMIFS(PrefFlows!$C:$C,PrefFlows!$A:$A,$T$1,PrefFlows!$B:$B,$B9),2)</f>
        <v>4.76</v>
      </c>
      <c r="W9" s="7">
        <f>ROUND($R9*(1-SUMIFS(PrefFlows!$C:$C,PrefFlows!$A:$A,$R$1,PrefFlows!$B:$B,$B9))+$S9*(1-SUMIFS(PrefFlows!$C:$C,PrefFlows!$A:$A,$S$1,PrefFlows!$B:$B,$B9))+$T9*(1-SUMIFS(PrefFlows!$C:$C,PrefFlows!$A:$A,$T$1,PrefFlows!$B:$B,$B9)),2)</f>
        <v>13.76</v>
      </c>
      <c r="X9" s="10">
        <f t="shared" si="10"/>
        <v>2.73</v>
      </c>
      <c r="Y9" s="7">
        <f t="shared" si="11"/>
        <v>15.79</v>
      </c>
      <c r="Z9" s="10">
        <f t="shared" si="12"/>
        <v>0.25700000000000001</v>
      </c>
      <c r="AA9" s="10">
        <f t="shared" si="13"/>
        <v>0.1474</v>
      </c>
      <c r="AB9" s="10">
        <f t="shared" si="14"/>
        <v>-0.1096</v>
      </c>
      <c r="AC9" s="7">
        <v>-0.18751519982458301</v>
      </c>
      <c r="AD9" s="10">
        <f>ROUND(R9*(1-(Exhaust!$B$2+AC9)),2)</f>
        <v>0</v>
      </c>
      <c r="AE9" s="10">
        <f>ROUND(S9*(1-(Exhaust!$B$3+$AC9)),2)</f>
        <v>10.97</v>
      </c>
      <c r="AF9" s="7">
        <f>ROUND(T9*(1-(Exhaust!$B$4+$AC9)),2)</f>
        <v>3.16</v>
      </c>
      <c r="AG9" s="10">
        <f>ROUND($AD9*(SUMIFS(PrefFlows!$C:$C,PrefFlows!$A:$A,$R$1,PrefFlows!$B:$B,$B9)+$AB9)+$AE9*(SUMIFS(PrefFlows!$C:$C,PrefFlows!$A:$A,$S$1,PrefFlows!$B:$B,$B9)+$AB9)+$AF9*(SUMIFS(PrefFlows!$C:$C,PrefFlows!$A:$A,$T$1,PrefFlows!$B:$B,$B9)+$AB9),2)</f>
        <v>1.96</v>
      </c>
      <c r="AH9" s="7">
        <f>ROUND($AD9*(1-(SUMIFS(PrefFlows!$C:$C,PrefFlows!$A:$A,$R$1,PrefFlows!$B:$B,$B9)+$AB9))+$AE9*(1-(SUMIFS(PrefFlows!$C:$C,PrefFlows!$A:$A,$S$1,PrefFlows!$B:$B,$B9)+$AB9))+$AF9*(1-(SUMIFS(PrefFlows!$C:$C,PrefFlows!$A:$A,$T$1,PrefFlows!$B:$B,$B9)+$AB9)),2)</f>
        <v>12.17</v>
      </c>
      <c r="AI9" s="10">
        <f t="shared" si="15"/>
        <v>27.91</v>
      </c>
      <c r="AJ9" s="7">
        <f t="shared" si="16"/>
        <v>67.7</v>
      </c>
      <c r="AK9" s="10">
        <f t="shared" si="17"/>
        <v>29.19</v>
      </c>
      <c r="AL9" s="7">
        <f t="shared" si="17"/>
        <v>70.81</v>
      </c>
      <c r="AM9" s="1">
        <f t="shared" si="0"/>
        <v>-21.32</v>
      </c>
      <c r="AN9" s="1">
        <f t="shared" si="1"/>
        <v>-19.96</v>
      </c>
      <c r="AO9" s="7">
        <f t="shared" si="2"/>
        <v>-20.81</v>
      </c>
      <c r="AP9" s="1" t="b">
        <f t="shared" si="18"/>
        <v>0</v>
      </c>
      <c r="AQ9" s="1" t="b">
        <f t="shared" si="18"/>
        <v>0</v>
      </c>
      <c r="AR9" s="7" t="b">
        <f t="shared" si="19"/>
        <v>0</v>
      </c>
      <c r="AS9" s="1">
        <f t="shared" si="20"/>
        <v>1.3599999999999994</v>
      </c>
      <c r="AT9" s="1">
        <f t="shared" si="20"/>
        <v>0.51000000000000156</v>
      </c>
      <c r="AU9" s="7">
        <f t="shared" si="21"/>
        <v>0.84999999999999787</v>
      </c>
      <c r="AV9" s="1">
        <f>ROUND(IF(B9="NSW",N9*Meta!$B$6,N9),1)</f>
        <v>4686</v>
      </c>
      <c r="AW9" s="7">
        <f t="shared" si="3"/>
        <v>73954.8</v>
      </c>
    </row>
    <row r="10" spans="1:50" x14ac:dyDescent="0.55000000000000004">
      <c r="A10" s="11" t="s">
        <v>19</v>
      </c>
      <c r="B10" s="7" t="s">
        <v>10</v>
      </c>
      <c r="C10" s="10">
        <v>43.53</v>
      </c>
      <c r="D10" s="10">
        <v>45.44</v>
      </c>
      <c r="E10" s="10">
        <v>0</v>
      </c>
      <c r="F10" s="10">
        <v>0</v>
      </c>
      <c r="G10" s="10">
        <v>0</v>
      </c>
      <c r="H10" s="10">
        <v>6.93</v>
      </c>
      <c r="I10" s="10">
        <v>4.0999999999999996</v>
      </c>
      <c r="J10" s="7">
        <f t="shared" si="4"/>
        <v>4.0999999999999996</v>
      </c>
      <c r="K10" s="10">
        <v>49.04</v>
      </c>
      <c r="L10" s="7">
        <v>50.96</v>
      </c>
      <c r="M10" s="10">
        <v>90709</v>
      </c>
      <c r="N10" s="10">
        <v>2599</v>
      </c>
      <c r="O10" s="7">
        <f t="shared" si="5"/>
        <v>88110</v>
      </c>
      <c r="P10" s="10">
        <f>ROUND($C10+MIN($D10:$E10)*(1-SUMIFS(PrefFlows!$C:$C,PrefFlows!$A:$A,INDEX($D$1:$E$1,MATCH(MIN($D10:$E10),$D10:$E10,0)),PrefFlows!$B:$B,$B10)),2)</f>
        <v>43.53</v>
      </c>
      <c r="Q10" s="10">
        <f>ROUND(MAX($D10:$E10)+MIN($D10:$E10)*SUMIFS(PrefFlows!$C:$C,PrefFlows!$A:$A,INDEX($D$1:$E$1,MATCH(MIN($D10:$E10),$D10:$E10,0)),PrefFlows!$B:$B,$B10),2)</f>
        <v>45.44</v>
      </c>
      <c r="R10" s="10">
        <f t="shared" si="6"/>
        <v>0</v>
      </c>
      <c r="S10" s="10">
        <f t="shared" si="7"/>
        <v>6.93</v>
      </c>
      <c r="T10" s="7">
        <f t="shared" si="8"/>
        <v>4.0999999999999996</v>
      </c>
      <c r="U10" s="9">
        <f t="shared" si="9"/>
        <v>1.91</v>
      </c>
      <c r="V10" s="10">
        <f>ROUND($R10*SUMIFS(PrefFlows!$C:$C,PrefFlows!$A:$A,$R$1,PrefFlows!$B:$B,$B10)+$S10*SUMIFS(PrefFlows!$C:$C,PrefFlows!$A:$A,$S$1,PrefFlows!$B:$B,$B10)+$T10*SUMIFS(PrefFlows!$C:$C,PrefFlows!$A:$A,$T$1,PrefFlows!$B:$B,$B10),2)</f>
        <v>3.32</v>
      </c>
      <c r="W10" s="7">
        <f>ROUND($R10*(1-SUMIFS(PrefFlows!$C:$C,PrefFlows!$A:$A,$R$1,PrefFlows!$B:$B,$B10))+$S10*(1-SUMIFS(PrefFlows!$C:$C,PrefFlows!$A:$A,$S$1,PrefFlows!$B:$B,$B10))+$T10*(1-SUMIFS(PrefFlows!$C:$C,PrefFlows!$A:$A,$T$1,PrefFlows!$B:$B,$B10)),2)</f>
        <v>7.71</v>
      </c>
      <c r="X10" s="10">
        <f t="shared" si="10"/>
        <v>3.6</v>
      </c>
      <c r="Y10" s="7">
        <f t="shared" si="11"/>
        <v>7.43</v>
      </c>
      <c r="Z10" s="10">
        <f t="shared" si="12"/>
        <v>0.30099999999999999</v>
      </c>
      <c r="AA10" s="10">
        <f t="shared" si="13"/>
        <v>0.32640000000000002</v>
      </c>
      <c r="AB10" s="10">
        <f t="shared" si="14"/>
        <v>2.5399999999999999E-2</v>
      </c>
      <c r="AC10" s="7">
        <v>-7.7881445022884702E-2</v>
      </c>
      <c r="AD10" s="10">
        <f>ROUND(R10*(1-(Exhaust!$B$2+AC10)),2)</f>
        <v>0</v>
      </c>
      <c r="AE10" s="10">
        <f>ROUND(S10*(1-(Exhaust!$B$3+$AC10)),2)</f>
        <v>4.7</v>
      </c>
      <c r="AF10" s="7">
        <f>ROUND(T10*(1-(Exhaust!$B$4+$AC10)),2)</f>
        <v>2.37</v>
      </c>
      <c r="AG10" s="10">
        <f>ROUND($AD10*(SUMIFS(PrefFlows!$C:$C,PrefFlows!$A:$A,$R$1,PrefFlows!$B:$B,$B10)+$AB10)+$AE10*(SUMIFS(PrefFlows!$C:$C,PrefFlows!$A:$A,$S$1,PrefFlows!$B:$B,$B10)+$AB10)+$AF10*(SUMIFS(PrefFlows!$C:$C,PrefFlows!$A:$A,$T$1,PrefFlows!$B:$B,$B10)+$AB10),2)</f>
        <v>2.2200000000000002</v>
      </c>
      <c r="AH10" s="7">
        <f>ROUND($AD10*(1-(SUMIFS(PrefFlows!$C:$C,PrefFlows!$A:$A,$R$1,PrefFlows!$B:$B,$B10)+$AB10))+$AE10*(1-(SUMIFS(PrefFlows!$C:$C,PrefFlows!$A:$A,$S$1,PrefFlows!$B:$B,$B10)+$AB10))+$AF10*(1-(SUMIFS(PrefFlows!$C:$C,PrefFlows!$A:$A,$T$1,PrefFlows!$B:$B,$B10)+$AB10)),2)</f>
        <v>4.8499999999999996</v>
      </c>
      <c r="AI10" s="10">
        <f t="shared" si="15"/>
        <v>47.66</v>
      </c>
      <c r="AJ10" s="7">
        <f t="shared" si="16"/>
        <v>48.38</v>
      </c>
      <c r="AK10" s="10">
        <f t="shared" si="17"/>
        <v>49.63</v>
      </c>
      <c r="AL10" s="7">
        <f t="shared" si="17"/>
        <v>50.37</v>
      </c>
      <c r="AM10" s="1">
        <f t="shared" si="0"/>
        <v>-0.96</v>
      </c>
      <c r="AN10" s="1">
        <f t="shared" si="1"/>
        <v>-0.04</v>
      </c>
      <c r="AO10" s="7">
        <f t="shared" si="2"/>
        <v>-0.37</v>
      </c>
      <c r="AP10" s="1" t="b">
        <f t="shared" si="18"/>
        <v>0</v>
      </c>
      <c r="AQ10" s="1" t="b">
        <f t="shared" si="18"/>
        <v>0</v>
      </c>
      <c r="AR10" s="7" t="b">
        <f t="shared" si="19"/>
        <v>0</v>
      </c>
      <c r="AS10" s="1">
        <f t="shared" si="20"/>
        <v>0.91999999999999993</v>
      </c>
      <c r="AT10" s="1">
        <f t="shared" si="20"/>
        <v>0.59</v>
      </c>
      <c r="AU10" s="7">
        <f t="shared" si="21"/>
        <v>0.33</v>
      </c>
      <c r="AV10" s="1">
        <f>ROUND(IF(B10="NSW",N10*Meta!$B$6,N10),1)</f>
        <v>2599</v>
      </c>
      <c r="AW10" s="7">
        <f t="shared" si="3"/>
        <v>85583.1</v>
      </c>
    </row>
    <row r="11" spans="1:50" x14ac:dyDescent="0.55000000000000004">
      <c r="A11" s="11" t="s">
        <v>20</v>
      </c>
      <c r="B11" s="7" t="s">
        <v>13</v>
      </c>
      <c r="C11" s="10">
        <v>28.4</v>
      </c>
      <c r="D11" s="10">
        <v>49.89</v>
      </c>
      <c r="E11" s="10">
        <v>0</v>
      </c>
      <c r="F11" s="10">
        <v>1.26</v>
      </c>
      <c r="G11" s="10">
        <v>0</v>
      </c>
      <c r="H11" s="10">
        <v>16.37</v>
      </c>
      <c r="I11" s="10">
        <v>4.08</v>
      </c>
      <c r="J11" s="7">
        <f t="shared" si="4"/>
        <v>5.34</v>
      </c>
      <c r="K11" s="10">
        <v>54.33</v>
      </c>
      <c r="L11" s="7">
        <v>45.67</v>
      </c>
      <c r="M11" s="10">
        <v>81576</v>
      </c>
      <c r="N11" s="10">
        <v>4762</v>
      </c>
      <c r="O11" s="7">
        <f t="shared" si="5"/>
        <v>76814</v>
      </c>
      <c r="P11" s="10">
        <f>ROUND($C11+MIN($D11:$E11)*(1-SUMIFS(PrefFlows!$C:$C,PrefFlows!$A:$A,INDEX($D$1:$E$1,MATCH(MIN($D11:$E11),$D11:$E11,0)),PrefFlows!$B:$B,$B11)),2)</f>
        <v>28.4</v>
      </c>
      <c r="Q11" s="10">
        <f>ROUND(MAX($D11:$E11)+MIN($D11:$E11)*SUMIFS(PrefFlows!$C:$C,PrefFlows!$A:$A,INDEX($D$1:$E$1,MATCH(MIN($D11:$E11),$D11:$E11,0)),PrefFlows!$B:$B,$B11),2)</f>
        <v>49.89</v>
      </c>
      <c r="R11" s="10">
        <f t="shared" si="6"/>
        <v>0</v>
      </c>
      <c r="S11" s="10">
        <f t="shared" si="7"/>
        <v>16.37</v>
      </c>
      <c r="T11" s="7">
        <f t="shared" si="8"/>
        <v>5.34</v>
      </c>
      <c r="U11" s="9">
        <f t="shared" si="9"/>
        <v>21.49</v>
      </c>
      <c r="V11" s="10">
        <f>ROUND($R11*SUMIFS(PrefFlows!$C:$C,PrefFlows!$A:$A,$R$1,PrefFlows!$B:$B,$B11)+$S11*SUMIFS(PrefFlows!$C:$C,PrefFlows!$A:$A,$S$1,PrefFlows!$B:$B,$B11)+$T11*SUMIFS(PrefFlows!$C:$C,PrefFlows!$A:$A,$T$1,PrefFlows!$B:$B,$B11),2)</f>
        <v>5.7</v>
      </c>
      <c r="W11" s="7">
        <f>ROUND($R11*(1-SUMIFS(PrefFlows!$C:$C,PrefFlows!$A:$A,$R$1,PrefFlows!$B:$B,$B11))+$S11*(1-SUMIFS(PrefFlows!$C:$C,PrefFlows!$A:$A,$S$1,PrefFlows!$B:$B,$B11))+$T11*(1-SUMIFS(PrefFlows!$C:$C,PrefFlows!$A:$A,$T$1,PrefFlows!$B:$B,$B11)),2)</f>
        <v>16.010000000000002</v>
      </c>
      <c r="X11" s="10">
        <f t="shared" si="10"/>
        <v>4.4400000000000004</v>
      </c>
      <c r="Y11" s="7">
        <f t="shared" si="11"/>
        <v>17.27</v>
      </c>
      <c r="Z11" s="10">
        <f t="shared" si="12"/>
        <v>0.2626</v>
      </c>
      <c r="AA11" s="10">
        <f t="shared" si="13"/>
        <v>0.20449999999999999</v>
      </c>
      <c r="AB11" s="10">
        <f t="shared" si="14"/>
        <v>-5.8099999999999999E-2</v>
      </c>
      <c r="AC11" s="7">
        <v>3.2995204274481799E-2</v>
      </c>
      <c r="AD11" s="10">
        <f>ROUND(R11*(1-(Exhaust!$B$2+AC11)),2)</f>
        <v>0</v>
      </c>
      <c r="AE11" s="10">
        <f>ROUND(S11*(1-(Exhaust!$B$3+$AC11)),2)</f>
        <v>9.2799999999999994</v>
      </c>
      <c r="AF11" s="7">
        <f>ROUND(T11*(1-(Exhaust!$B$4+$AC11)),2)</f>
        <v>2.4900000000000002</v>
      </c>
      <c r="AG11" s="10">
        <f>ROUND($AD11*(SUMIFS(PrefFlows!$C:$C,PrefFlows!$A:$A,$R$1,PrefFlows!$B:$B,$B11)+$AB11)+$AE11*(SUMIFS(PrefFlows!$C:$C,PrefFlows!$A:$A,$S$1,PrefFlows!$B:$B,$B11)+$AB11)+$AF11*(SUMIFS(PrefFlows!$C:$C,PrefFlows!$A:$A,$T$1,PrefFlows!$B:$B,$B11)+$AB11),2)</f>
        <v>2.2599999999999998</v>
      </c>
      <c r="AH11" s="7">
        <f>ROUND($AD11*(1-(SUMIFS(PrefFlows!$C:$C,PrefFlows!$A:$A,$R$1,PrefFlows!$B:$B,$B11)+$AB11))+$AE11*(1-(SUMIFS(PrefFlows!$C:$C,PrefFlows!$A:$A,$S$1,PrefFlows!$B:$B,$B11)+$AB11))+$AF11*(1-(SUMIFS(PrefFlows!$C:$C,PrefFlows!$A:$A,$T$1,PrefFlows!$B:$B,$B11)+$AB11)),2)</f>
        <v>9.51</v>
      </c>
      <c r="AI11" s="10">
        <f t="shared" si="15"/>
        <v>52.15</v>
      </c>
      <c r="AJ11" s="7">
        <f t="shared" si="16"/>
        <v>37.909999999999997</v>
      </c>
      <c r="AK11" s="10">
        <f t="shared" si="17"/>
        <v>57.91</v>
      </c>
      <c r="AL11" s="7">
        <f t="shared" si="17"/>
        <v>42.09</v>
      </c>
      <c r="AM11" s="1">
        <f t="shared" si="0"/>
        <v>4.33</v>
      </c>
      <c r="AN11" s="1">
        <f t="shared" si="1"/>
        <v>8.27</v>
      </c>
      <c r="AO11" s="7">
        <f t="shared" si="2"/>
        <v>7.91</v>
      </c>
      <c r="AP11" s="1" t="b">
        <f t="shared" si="18"/>
        <v>0</v>
      </c>
      <c r="AQ11" s="1" t="b">
        <f t="shared" si="18"/>
        <v>0</v>
      </c>
      <c r="AR11" s="7" t="b">
        <f t="shared" si="19"/>
        <v>0</v>
      </c>
      <c r="AS11" s="1">
        <f t="shared" si="20"/>
        <v>3.9399999999999995</v>
      </c>
      <c r="AT11" s="1">
        <f t="shared" si="20"/>
        <v>3.58</v>
      </c>
      <c r="AU11" s="7">
        <f t="shared" si="21"/>
        <v>0.35999999999999943</v>
      </c>
      <c r="AV11" s="1">
        <f>ROUND(IF(B11="NSW",N11*Meta!$B$6,N11),1)</f>
        <v>3190.5</v>
      </c>
      <c r="AW11" s="7">
        <f t="shared" si="3"/>
        <v>71701.7</v>
      </c>
    </row>
    <row r="12" spans="1:50" x14ac:dyDescent="0.55000000000000004">
      <c r="A12" s="11" t="s">
        <v>21</v>
      </c>
      <c r="B12" s="7" t="s">
        <v>13</v>
      </c>
      <c r="C12" s="10">
        <v>26.16</v>
      </c>
      <c r="D12" s="10">
        <v>56.14</v>
      </c>
      <c r="E12" s="10">
        <v>0</v>
      </c>
      <c r="F12" s="10">
        <v>1.87</v>
      </c>
      <c r="G12" s="10">
        <v>0</v>
      </c>
      <c r="H12" s="10">
        <v>9.6</v>
      </c>
      <c r="I12" s="10">
        <v>6.23</v>
      </c>
      <c r="J12" s="7">
        <f t="shared" si="4"/>
        <v>8.1</v>
      </c>
      <c r="K12" s="10">
        <v>62.16</v>
      </c>
      <c r="L12" s="7">
        <v>37.840000000000003</v>
      </c>
      <c r="M12" s="10">
        <v>82401</v>
      </c>
      <c r="N12" s="10">
        <v>4606</v>
      </c>
      <c r="O12" s="7">
        <f t="shared" si="5"/>
        <v>77795</v>
      </c>
      <c r="P12" s="10">
        <f>ROUND($C12+MIN($D12:$E12)*(1-SUMIFS(PrefFlows!$C:$C,PrefFlows!$A:$A,INDEX($D$1:$E$1,MATCH(MIN($D12:$E12),$D12:$E12,0)),PrefFlows!$B:$B,$B12)),2)</f>
        <v>26.16</v>
      </c>
      <c r="Q12" s="10">
        <f>ROUND(MAX($D12:$E12)+MIN($D12:$E12)*SUMIFS(PrefFlows!$C:$C,PrefFlows!$A:$A,INDEX($D$1:$E$1,MATCH(MIN($D12:$E12),$D12:$E12,0)),PrefFlows!$B:$B,$B12),2)</f>
        <v>56.14</v>
      </c>
      <c r="R12" s="10">
        <f t="shared" si="6"/>
        <v>0</v>
      </c>
      <c r="S12" s="10">
        <f t="shared" si="7"/>
        <v>9.6</v>
      </c>
      <c r="T12" s="7">
        <f t="shared" si="8"/>
        <v>8.1</v>
      </c>
      <c r="U12" s="9">
        <f t="shared" si="9"/>
        <v>29.98</v>
      </c>
      <c r="V12" s="10">
        <f>ROUND($R12*SUMIFS(PrefFlows!$C:$C,PrefFlows!$A:$A,$R$1,PrefFlows!$B:$B,$B12)+$S12*SUMIFS(PrefFlows!$C:$C,PrefFlows!$A:$A,$S$1,PrefFlows!$B:$B,$B12)+$T12*SUMIFS(PrefFlows!$C:$C,PrefFlows!$A:$A,$T$1,PrefFlows!$B:$B,$B12),2)</f>
        <v>5.95</v>
      </c>
      <c r="W12" s="7">
        <f>ROUND($R12*(1-SUMIFS(PrefFlows!$C:$C,PrefFlows!$A:$A,$R$1,PrefFlows!$B:$B,$B12))+$S12*(1-SUMIFS(PrefFlows!$C:$C,PrefFlows!$A:$A,$S$1,PrefFlows!$B:$B,$B12))+$T12*(1-SUMIFS(PrefFlows!$C:$C,PrefFlows!$A:$A,$T$1,PrefFlows!$B:$B,$B12)),2)</f>
        <v>11.75</v>
      </c>
      <c r="X12" s="10">
        <f t="shared" si="10"/>
        <v>6.02</v>
      </c>
      <c r="Y12" s="7">
        <f t="shared" si="11"/>
        <v>11.68</v>
      </c>
      <c r="Z12" s="10">
        <f t="shared" si="12"/>
        <v>0.3362</v>
      </c>
      <c r="AA12" s="10">
        <f t="shared" si="13"/>
        <v>0.34010000000000001</v>
      </c>
      <c r="AB12" s="10">
        <f t="shared" si="14"/>
        <v>3.8999999999999998E-3</v>
      </c>
      <c r="AC12" s="7">
        <v>1.8518663573337601E-2</v>
      </c>
      <c r="AD12" s="10">
        <f>ROUND(R12*(1-(Exhaust!$B$2+AC12)),2)</f>
        <v>0</v>
      </c>
      <c r="AE12" s="10">
        <f>ROUND(S12*(1-(Exhaust!$B$3+$AC12)),2)</f>
        <v>5.58</v>
      </c>
      <c r="AF12" s="7">
        <f>ROUND(T12*(1-(Exhaust!$B$4+$AC12)),2)</f>
        <v>3.9</v>
      </c>
      <c r="AG12" s="10">
        <f>ROUND($AD12*(SUMIFS(PrefFlows!$C:$C,PrefFlows!$A:$A,$R$1,PrefFlows!$B:$B,$B12)+$AB12)+$AE12*(SUMIFS(PrefFlows!$C:$C,PrefFlows!$A:$A,$S$1,PrefFlows!$B:$B,$B12)+$AB12)+$AF12*(SUMIFS(PrefFlows!$C:$C,PrefFlows!$A:$A,$T$1,PrefFlows!$B:$B,$B12)+$AB12),2)</f>
        <v>3.07</v>
      </c>
      <c r="AH12" s="7">
        <f>ROUND($AD12*(1-(SUMIFS(PrefFlows!$C:$C,PrefFlows!$A:$A,$R$1,PrefFlows!$B:$B,$B12)+$AB12))+$AE12*(1-(SUMIFS(PrefFlows!$C:$C,PrefFlows!$A:$A,$S$1,PrefFlows!$B:$B,$B12)+$AB12))+$AF12*(1-(SUMIFS(PrefFlows!$C:$C,PrefFlows!$A:$A,$T$1,PrefFlows!$B:$B,$B12)+$AB12)),2)</f>
        <v>6.41</v>
      </c>
      <c r="AI12" s="10">
        <f t="shared" si="15"/>
        <v>59.21</v>
      </c>
      <c r="AJ12" s="7">
        <f t="shared" si="16"/>
        <v>32.57</v>
      </c>
      <c r="AK12" s="10">
        <f t="shared" si="17"/>
        <v>64.510000000000005</v>
      </c>
      <c r="AL12" s="7">
        <f t="shared" si="17"/>
        <v>35.49</v>
      </c>
      <c r="AM12" s="1">
        <f t="shared" si="0"/>
        <v>12.16</v>
      </c>
      <c r="AN12" s="1">
        <f t="shared" si="1"/>
        <v>14.77</v>
      </c>
      <c r="AO12" s="7">
        <f t="shared" si="2"/>
        <v>14.51</v>
      </c>
      <c r="AP12" s="1" t="b">
        <f t="shared" si="18"/>
        <v>0</v>
      </c>
      <c r="AQ12" s="1" t="b">
        <f t="shared" si="18"/>
        <v>0</v>
      </c>
      <c r="AR12" s="7" t="b">
        <f t="shared" si="19"/>
        <v>0</v>
      </c>
      <c r="AS12" s="1">
        <f t="shared" si="20"/>
        <v>2.6099999999999994</v>
      </c>
      <c r="AT12" s="1">
        <f t="shared" si="20"/>
        <v>2.3499999999999996</v>
      </c>
      <c r="AU12" s="7">
        <f t="shared" si="21"/>
        <v>0.25999999999999979</v>
      </c>
      <c r="AV12" s="1">
        <f>ROUND(IF(B12="NSW",N12*Meta!$B$6,N12),1)</f>
        <v>3086</v>
      </c>
      <c r="AW12" s="7">
        <f t="shared" si="3"/>
        <v>73887.199999999997</v>
      </c>
    </row>
    <row r="13" spans="1:50" x14ac:dyDescent="0.55000000000000004">
      <c r="A13" s="11" t="s">
        <v>22</v>
      </c>
      <c r="B13" s="7" t="s">
        <v>23</v>
      </c>
      <c r="C13" s="10">
        <v>31.44</v>
      </c>
      <c r="D13" s="10">
        <v>52.19</v>
      </c>
      <c r="E13" s="10">
        <v>0</v>
      </c>
      <c r="F13" s="10">
        <v>1.28</v>
      </c>
      <c r="G13" s="10">
        <v>5.29</v>
      </c>
      <c r="H13" s="10">
        <v>2.94</v>
      </c>
      <c r="I13" s="10">
        <v>12.15</v>
      </c>
      <c r="J13" s="7">
        <f t="shared" si="4"/>
        <v>8.14</v>
      </c>
      <c r="K13" s="10">
        <v>61.21</v>
      </c>
      <c r="L13" s="7">
        <v>38.79</v>
      </c>
      <c r="M13" s="10">
        <v>86800</v>
      </c>
      <c r="N13" s="10">
        <v>5019</v>
      </c>
      <c r="O13" s="7">
        <f t="shared" si="5"/>
        <v>81781</v>
      </c>
      <c r="P13" s="10">
        <f>ROUND($C13+MIN($D13:$E13)*(1-SUMIFS(PrefFlows!$C:$C,PrefFlows!$A:$A,INDEX($D$1:$E$1,MATCH(MIN($D13:$E13),$D13:$E13,0)),PrefFlows!$B:$B,$B13)),2)</f>
        <v>31.44</v>
      </c>
      <c r="Q13" s="10">
        <f>ROUND(MAX($D13:$E13)+MIN($D13:$E13)*SUMIFS(PrefFlows!$C:$C,PrefFlows!$A:$A,INDEX($D$1:$E$1,MATCH(MIN($D13:$E13),$D13:$E13,0)),PrefFlows!$B:$B,$B13),2)</f>
        <v>52.19</v>
      </c>
      <c r="R13" s="10">
        <f t="shared" si="6"/>
        <v>5.29</v>
      </c>
      <c r="S13" s="10">
        <f t="shared" si="7"/>
        <v>2.94</v>
      </c>
      <c r="T13" s="7">
        <f t="shared" si="8"/>
        <v>8.14</v>
      </c>
      <c r="U13" s="9">
        <f t="shared" si="9"/>
        <v>20.75</v>
      </c>
      <c r="V13" s="10">
        <f>ROUND($R13*SUMIFS(PrefFlows!$C:$C,PrefFlows!$A:$A,$R$1,PrefFlows!$B:$B,$B13)+$S13*SUMIFS(PrefFlows!$C:$C,PrefFlows!$A:$A,$S$1,PrefFlows!$B:$B,$B13)+$T13*SUMIFS(PrefFlows!$C:$C,PrefFlows!$A:$A,$T$1,PrefFlows!$B:$B,$B13),2)</f>
        <v>8.0299999999999994</v>
      </c>
      <c r="W13" s="7">
        <f>ROUND($R13*(1-SUMIFS(PrefFlows!$C:$C,PrefFlows!$A:$A,$R$1,PrefFlows!$B:$B,$B13))+$S13*(1-SUMIFS(PrefFlows!$C:$C,PrefFlows!$A:$A,$S$1,PrefFlows!$B:$B,$B13))+$T13*(1-SUMIFS(PrefFlows!$C:$C,PrefFlows!$A:$A,$T$1,PrefFlows!$B:$B,$B13)),2)</f>
        <v>8.34</v>
      </c>
      <c r="X13" s="10">
        <f t="shared" si="10"/>
        <v>9.02</v>
      </c>
      <c r="Y13" s="7">
        <f t="shared" si="11"/>
        <v>7.35</v>
      </c>
      <c r="Z13" s="10">
        <f t="shared" si="12"/>
        <v>0.49049999999999999</v>
      </c>
      <c r="AA13" s="10">
        <f t="shared" si="13"/>
        <v>0.55100000000000005</v>
      </c>
      <c r="AB13" s="10">
        <f t="shared" si="14"/>
        <v>6.0499999999999998E-2</v>
      </c>
      <c r="AC13" s="7">
        <v>2.9961059154527299E-2</v>
      </c>
      <c r="AD13" s="10">
        <f>ROUND(R13*(1-(Exhaust!$B$2+AC13)),2)</f>
        <v>2.17</v>
      </c>
      <c r="AE13" s="10">
        <f>ROUND(S13*(1-(Exhaust!$B$3+$AC13)),2)</f>
        <v>1.68</v>
      </c>
      <c r="AF13" s="7">
        <f>ROUND(T13*(1-(Exhaust!$B$4+$AC13)),2)</f>
        <v>3.83</v>
      </c>
      <c r="AG13" s="10">
        <f>ROUND($AD13*(SUMIFS(PrefFlows!$C:$C,PrefFlows!$A:$A,$R$1,PrefFlows!$B:$B,$B13)+$AB13)+$AE13*(SUMIFS(PrefFlows!$C:$C,PrefFlows!$A:$A,$S$1,PrefFlows!$B:$B,$B13)+$AB13)+$AF13*(SUMIFS(PrefFlows!$C:$C,PrefFlows!$A:$A,$T$1,PrefFlows!$B:$B,$B13)+$AB13),2)</f>
        <v>4.13</v>
      </c>
      <c r="AH13" s="7">
        <f>ROUND($AD13*(1-(SUMIFS(PrefFlows!$C:$C,PrefFlows!$A:$A,$R$1,PrefFlows!$B:$B,$B13)+$AB13))+$AE13*(1-(SUMIFS(PrefFlows!$C:$C,PrefFlows!$A:$A,$S$1,PrefFlows!$B:$B,$B13)+$AB13))+$AF13*(1-(SUMIFS(PrefFlows!$C:$C,PrefFlows!$A:$A,$T$1,PrefFlows!$B:$B,$B13)+$AB13)),2)</f>
        <v>3.55</v>
      </c>
      <c r="AI13" s="10">
        <f t="shared" si="15"/>
        <v>56.32</v>
      </c>
      <c r="AJ13" s="7">
        <f t="shared" si="16"/>
        <v>34.99</v>
      </c>
      <c r="AK13" s="10">
        <f t="shared" si="17"/>
        <v>61.68</v>
      </c>
      <c r="AL13" s="7">
        <f t="shared" si="17"/>
        <v>38.32</v>
      </c>
      <c r="AM13" s="1">
        <f t="shared" si="0"/>
        <v>11.21</v>
      </c>
      <c r="AN13" s="1">
        <f t="shared" si="1"/>
        <v>11.73</v>
      </c>
      <c r="AO13" s="7">
        <f t="shared" si="2"/>
        <v>11.68</v>
      </c>
      <c r="AP13" s="1" t="b">
        <f t="shared" si="18"/>
        <v>0</v>
      </c>
      <c r="AQ13" s="1" t="b">
        <f t="shared" si="18"/>
        <v>0</v>
      </c>
      <c r="AR13" s="7" t="b">
        <f t="shared" si="19"/>
        <v>0</v>
      </c>
      <c r="AS13" s="1">
        <f t="shared" si="20"/>
        <v>0.51999999999999957</v>
      </c>
      <c r="AT13" s="1">
        <f t="shared" si="20"/>
        <v>0.46999999999999886</v>
      </c>
      <c r="AU13" s="7">
        <f t="shared" si="21"/>
        <v>5.0000000000000711E-2</v>
      </c>
      <c r="AV13" s="1">
        <f>ROUND(IF(B13="NSW",N13*Meta!$B$6,N13),1)</f>
        <v>5019</v>
      </c>
      <c r="AW13" s="7">
        <f t="shared" si="3"/>
        <v>76441</v>
      </c>
    </row>
    <row r="14" spans="1:50" x14ac:dyDescent="0.55000000000000004">
      <c r="A14" s="11" t="s">
        <v>24</v>
      </c>
      <c r="B14" s="7" t="s">
        <v>13</v>
      </c>
      <c r="C14" s="10">
        <v>53.79</v>
      </c>
      <c r="D14" s="10">
        <v>31.02</v>
      </c>
      <c r="E14" s="10">
        <v>0</v>
      </c>
      <c r="F14" s="10">
        <v>1.27</v>
      </c>
      <c r="G14" s="10">
        <v>4.78</v>
      </c>
      <c r="H14" s="10">
        <v>4.6399999999999997</v>
      </c>
      <c r="I14" s="10">
        <v>9.2799999999999994</v>
      </c>
      <c r="J14" s="7">
        <f t="shared" si="4"/>
        <v>5.77</v>
      </c>
      <c r="K14" s="10">
        <v>37.130000000000003</v>
      </c>
      <c r="L14" s="7">
        <v>62.87</v>
      </c>
      <c r="M14" s="10">
        <v>77276</v>
      </c>
      <c r="N14" s="10">
        <v>8271</v>
      </c>
      <c r="O14" s="7">
        <f t="shared" si="5"/>
        <v>69005</v>
      </c>
      <c r="P14" s="10">
        <f>ROUND($C14+MIN($D14:$E14)*(1-SUMIFS(PrefFlows!$C:$C,PrefFlows!$A:$A,INDEX($D$1:$E$1,MATCH(MIN($D14:$E14),$D14:$E14,0)),PrefFlows!$B:$B,$B14)),2)</f>
        <v>53.79</v>
      </c>
      <c r="Q14" s="10">
        <f>ROUND(MAX($D14:$E14)+MIN($D14:$E14)*SUMIFS(PrefFlows!$C:$C,PrefFlows!$A:$A,INDEX($D$1:$E$1,MATCH(MIN($D14:$E14),$D14:$E14,0)),PrefFlows!$B:$B,$B14),2)</f>
        <v>31.02</v>
      </c>
      <c r="R14" s="10">
        <f t="shared" si="6"/>
        <v>4.78</v>
      </c>
      <c r="S14" s="10">
        <f t="shared" si="7"/>
        <v>4.6399999999999997</v>
      </c>
      <c r="T14" s="7">
        <f t="shared" si="8"/>
        <v>5.77</v>
      </c>
      <c r="U14" s="9">
        <f t="shared" si="9"/>
        <v>-22.77</v>
      </c>
      <c r="V14" s="10">
        <f>ROUND($R14*SUMIFS(PrefFlows!$C:$C,PrefFlows!$A:$A,$R$1,PrefFlows!$B:$B,$B14)+$S14*SUMIFS(PrefFlows!$C:$C,PrefFlows!$A:$A,$S$1,PrefFlows!$B:$B,$B14)+$T14*SUMIFS(PrefFlows!$C:$C,PrefFlows!$A:$A,$T$1,PrefFlows!$B:$B,$B14),2)</f>
        <v>6.4</v>
      </c>
      <c r="W14" s="7">
        <f>ROUND($R14*(1-SUMIFS(PrefFlows!$C:$C,PrefFlows!$A:$A,$R$1,PrefFlows!$B:$B,$B14))+$S14*(1-SUMIFS(PrefFlows!$C:$C,PrefFlows!$A:$A,$S$1,PrefFlows!$B:$B,$B14))+$T14*(1-SUMIFS(PrefFlows!$C:$C,PrefFlows!$A:$A,$T$1,PrefFlows!$B:$B,$B14)),2)</f>
        <v>8.7899999999999991</v>
      </c>
      <c r="X14" s="10">
        <f t="shared" si="10"/>
        <v>6.11</v>
      </c>
      <c r="Y14" s="7">
        <f t="shared" si="11"/>
        <v>9.08</v>
      </c>
      <c r="Z14" s="10">
        <f t="shared" si="12"/>
        <v>0.42130000000000001</v>
      </c>
      <c r="AA14" s="10">
        <f t="shared" si="13"/>
        <v>0.4022</v>
      </c>
      <c r="AB14" s="10">
        <f t="shared" si="14"/>
        <v>-1.9099999999999999E-2</v>
      </c>
      <c r="AC14" s="7">
        <v>0.107704194086639</v>
      </c>
      <c r="AD14" s="10">
        <f>ROUND(R14*(1-(Exhaust!$B$2+AC14)),2)</f>
        <v>1.59</v>
      </c>
      <c r="AE14" s="10">
        <f>ROUND(S14*(1-(Exhaust!$B$3+$AC14)),2)</f>
        <v>2.2799999999999998</v>
      </c>
      <c r="AF14" s="7">
        <f>ROUND(T14*(1-(Exhaust!$B$4+$AC14)),2)</f>
        <v>2.2599999999999998</v>
      </c>
      <c r="AG14" s="10">
        <f>ROUND($AD14*(SUMIFS(PrefFlows!$C:$C,PrefFlows!$A:$A,$R$1,PrefFlows!$B:$B,$B14)+$AB14)+$AE14*(SUMIFS(PrefFlows!$C:$C,PrefFlows!$A:$A,$S$1,PrefFlows!$B:$B,$B14)+$AB14)+$AF14*(SUMIFS(PrefFlows!$C:$C,PrefFlows!$A:$A,$T$1,PrefFlows!$B:$B,$B14)+$AB14),2)</f>
        <v>2.3199999999999998</v>
      </c>
      <c r="AH14" s="7">
        <f>ROUND($AD14*(1-(SUMIFS(PrefFlows!$C:$C,PrefFlows!$A:$A,$R$1,PrefFlows!$B:$B,$B14)+$AB14))+$AE14*(1-(SUMIFS(PrefFlows!$C:$C,PrefFlows!$A:$A,$S$1,PrefFlows!$B:$B,$B14)+$AB14))+$AF14*(1-(SUMIFS(PrefFlows!$C:$C,PrefFlows!$A:$A,$T$1,PrefFlows!$B:$B,$B14)+$AB14)),2)</f>
        <v>3.81</v>
      </c>
      <c r="AI14" s="10">
        <f t="shared" si="15"/>
        <v>33.340000000000003</v>
      </c>
      <c r="AJ14" s="7">
        <f t="shared" si="16"/>
        <v>57.6</v>
      </c>
      <c r="AK14" s="10">
        <f t="shared" si="17"/>
        <v>36.659999999999997</v>
      </c>
      <c r="AL14" s="7">
        <f t="shared" si="17"/>
        <v>63.34</v>
      </c>
      <c r="AM14" s="1">
        <f t="shared" si="0"/>
        <v>-12.87</v>
      </c>
      <c r="AN14" s="1">
        <f t="shared" si="1"/>
        <v>-13.11</v>
      </c>
      <c r="AO14" s="7">
        <f t="shared" si="2"/>
        <v>-13.34</v>
      </c>
      <c r="AP14" s="1" t="b">
        <f t="shared" si="18"/>
        <v>0</v>
      </c>
      <c r="AQ14" s="1" t="b">
        <f t="shared" si="18"/>
        <v>0</v>
      </c>
      <c r="AR14" s="7" t="b">
        <f t="shared" si="19"/>
        <v>0</v>
      </c>
      <c r="AS14" s="1">
        <f t="shared" si="20"/>
        <v>-0.24000000000000021</v>
      </c>
      <c r="AT14" s="1">
        <f t="shared" si="20"/>
        <v>-0.47000000000000064</v>
      </c>
      <c r="AU14" s="7">
        <f t="shared" si="21"/>
        <v>0.23000000000000043</v>
      </c>
      <c r="AV14" s="1">
        <f>ROUND(IF(B14="NSW",N14*Meta!$B$6,N14),1)</f>
        <v>5541.6</v>
      </c>
      <c r="AW14" s="7">
        <f t="shared" si="3"/>
        <v>67178.100000000006</v>
      </c>
    </row>
    <row r="15" spans="1:50" x14ac:dyDescent="0.55000000000000004">
      <c r="A15" s="11" t="s">
        <v>25</v>
      </c>
      <c r="B15" s="7" t="s">
        <v>23</v>
      </c>
      <c r="C15" s="10">
        <v>42.75</v>
      </c>
      <c r="D15" s="10">
        <v>44.13</v>
      </c>
      <c r="E15" s="10">
        <v>0</v>
      </c>
      <c r="F15" s="10">
        <v>1.4</v>
      </c>
      <c r="G15" s="10">
        <v>1.85</v>
      </c>
      <c r="H15" s="10">
        <v>4.93</v>
      </c>
      <c r="I15" s="10">
        <v>6.79</v>
      </c>
      <c r="J15" s="7">
        <f t="shared" si="4"/>
        <v>6.34</v>
      </c>
      <c r="K15" s="10">
        <v>50.51</v>
      </c>
      <c r="L15" s="7">
        <v>49.49</v>
      </c>
      <c r="M15" s="10">
        <v>82452</v>
      </c>
      <c r="N15" s="10">
        <v>4651</v>
      </c>
      <c r="O15" s="7">
        <f t="shared" si="5"/>
        <v>77801</v>
      </c>
      <c r="P15" s="10">
        <f>ROUND($C15+MIN($D15:$E15)*(1-SUMIFS(PrefFlows!$C:$C,PrefFlows!$A:$A,INDEX($D$1:$E$1,MATCH(MIN($D15:$E15),$D15:$E15,0)),PrefFlows!$B:$B,$B15)),2)</f>
        <v>42.75</v>
      </c>
      <c r="Q15" s="10">
        <f>ROUND(MAX($D15:$E15)+MIN($D15:$E15)*SUMIFS(PrefFlows!$C:$C,PrefFlows!$A:$A,INDEX($D$1:$E$1,MATCH(MIN($D15:$E15),$D15:$E15,0)),PrefFlows!$B:$B,$B15),2)</f>
        <v>44.13</v>
      </c>
      <c r="R15" s="10">
        <f t="shared" si="6"/>
        <v>1.85</v>
      </c>
      <c r="S15" s="10">
        <f t="shared" si="7"/>
        <v>4.93</v>
      </c>
      <c r="T15" s="7">
        <f t="shared" si="8"/>
        <v>6.34</v>
      </c>
      <c r="U15" s="9">
        <f t="shared" si="9"/>
        <v>1.38</v>
      </c>
      <c r="V15" s="10">
        <f>ROUND($R15*SUMIFS(PrefFlows!$C:$C,PrefFlows!$A:$A,$R$1,PrefFlows!$B:$B,$B15)+$S15*SUMIFS(PrefFlows!$C:$C,PrefFlows!$A:$A,$S$1,PrefFlows!$B:$B,$B15)+$T15*SUMIFS(PrefFlows!$C:$C,PrefFlows!$A:$A,$T$1,PrefFlows!$B:$B,$B15),2)</f>
        <v>5.56</v>
      </c>
      <c r="W15" s="7">
        <f>ROUND($R15*(1-SUMIFS(PrefFlows!$C:$C,PrefFlows!$A:$A,$R$1,PrefFlows!$B:$B,$B15))+$S15*(1-SUMIFS(PrefFlows!$C:$C,PrefFlows!$A:$A,$S$1,PrefFlows!$B:$B,$B15))+$T15*(1-SUMIFS(PrefFlows!$C:$C,PrefFlows!$A:$A,$T$1,PrefFlows!$B:$B,$B15)),2)</f>
        <v>7.56</v>
      </c>
      <c r="X15" s="10">
        <f t="shared" si="10"/>
        <v>6.38</v>
      </c>
      <c r="Y15" s="7">
        <f t="shared" si="11"/>
        <v>6.74</v>
      </c>
      <c r="Z15" s="10">
        <f t="shared" si="12"/>
        <v>0.42380000000000001</v>
      </c>
      <c r="AA15" s="10">
        <f t="shared" si="13"/>
        <v>0.48630000000000001</v>
      </c>
      <c r="AB15" s="10">
        <f t="shared" si="14"/>
        <v>6.25E-2</v>
      </c>
      <c r="AC15" s="7">
        <v>4.4401461809243604E-3</v>
      </c>
      <c r="AD15" s="10">
        <f>ROUND(R15*(1-(Exhaust!$B$2+AC15)),2)</f>
        <v>0.81</v>
      </c>
      <c r="AE15" s="10">
        <f>ROUND(S15*(1-(Exhaust!$B$3+$AC15)),2)</f>
        <v>2.94</v>
      </c>
      <c r="AF15" s="7">
        <f>ROUND(T15*(1-(Exhaust!$B$4+$AC15)),2)</f>
        <v>3.14</v>
      </c>
      <c r="AG15" s="10">
        <f>ROUND($AD15*(SUMIFS(PrefFlows!$C:$C,PrefFlows!$A:$A,$R$1,PrefFlows!$B:$B,$B15)+$AB15)+$AE15*(SUMIFS(PrefFlows!$C:$C,PrefFlows!$A:$A,$S$1,PrefFlows!$B:$B,$B15)+$AB15)+$AF15*(SUMIFS(PrefFlows!$C:$C,PrefFlows!$A:$A,$T$1,PrefFlows!$B:$B,$B15)+$AB15),2)</f>
        <v>3.25</v>
      </c>
      <c r="AH15" s="7">
        <f>ROUND($AD15*(1-(SUMIFS(PrefFlows!$C:$C,PrefFlows!$A:$A,$R$1,PrefFlows!$B:$B,$B15)+$AB15))+$AE15*(1-(SUMIFS(PrefFlows!$C:$C,PrefFlows!$A:$A,$S$1,PrefFlows!$B:$B,$B15)+$AB15))+$AF15*(1-(SUMIFS(PrefFlows!$C:$C,PrefFlows!$A:$A,$T$1,PrefFlows!$B:$B,$B15)+$AB15)),2)</f>
        <v>3.64</v>
      </c>
      <c r="AI15" s="10">
        <f t="shared" si="15"/>
        <v>47.38</v>
      </c>
      <c r="AJ15" s="7">
        <f t="shared" si="16"/>
        <v>46.39</v>
      </c>
      <c r="AK15" s="10">
        <f t="shared" si="17"/>
        <v>50.53</v>
      </c>
      <c r="AL15" s="7">
        <f t="shared" si="17"/>
        <v>49.47</v>
      </c>
      <c r="AM15" s="1">
        <f t="shared" si="0"/>
        <v>0.51</v>
      </c>
      <c r="AN15" s="1">
        <f t="shared" si="1"/>
        <v>0.64</v>
      </c>
      <c r="AO15" s="7">
        <f t="shared" si="2"/>
        <v>0.53</v>
      </c>
      <c r="AP15" s="1" t="b">
        <f t="shared" si="18"/>
        <v>0</v>
      </c>
      <c r="AQ15" s="1" t="b">
        <f t="shared" si="18"/>
        <v>0</v>
      </c>
      <c r="AR15" s="7" t="b">
        <f t="shared" si="19"/>
        <v>0</v>
      </c>
      <c r="AS15" s="1">
        <f t="shared" si="20"/>
        <v>0.13</v>
      </c>
      <c r="AT15" s="1">
        <f t="shared" si="20"/>
        <v>2.0000000000000018E-2</v>
      </c>
      <c r="AU15" s="7">
        <f t="shared" si="21"/>
        <v>0.10999999999999999</v>
      </c>
      <c r="AV15" s="1">
        <f>ROUND(IF(B15="NSW",N15*Meta!$B$6,N15),1)</f>
        <v>4651</v>
      </c>
      <c r="AW15" s="7">
        <f t="shared" si="3"/>
        <v>74635.3</v>
      </c>
    </row>
    <row r="16" spans="1:50" x14ac:dyDescent="0.55000000000000004">
      <c r="A16" s="11" t="s">
        <v>26</v>
      </c>
      <c r="B16" s="7" t="s">
        <v>8</v>
      </c>
      <c r="C16" s="10">
        <v>35.840000000000003</v>
      </c>
      <c r="D16" s="10">
        <v>50.62</v>
      </c>
      <c r="E16" s="10">
        <v>0</v>
      </c>
      <c r="F16" s="10">
        <v>2.0299999999999998</v>
      </c>
      <c r="G16" s="10">
        <v>0.67</v>
      </c>
      <c r="H16" s="10">
        <v>7.11</v>
      </c>
      <c r="I16" s="10">
        <v>4.4000000000000004</v>
      </c>
      <c r="J16" s="7">
        <f t="shared" si="4"/>
        <v>5.76</v>
      </c>
      <c r="K16" s="10">
        <v>55.37</v>
      </c>
      <c r="L16" s="7">
        <v>44.63</v>
      </c>
      <c r="M16" s="10">
        <v>90184</v>
      </c>
      <c r="N16" s="10">
        <v>3976</v>
      </c>
      <c r="O16" s="7">
        <f t="shared" si="5"/>
        <v>86208</v>
      </c>
      <c r="P16" s="10">
        <f>ROUND($C16+MIN($D16:$E16)*(1-SUMIFS(PrefFlows!$C:$C,PrefFlows!$A:$A,INDEX($D$1:$E$1,MATCH(MIN($D16:$E16),$D16:$E16,0)),PrefFlows!$B:$B,$B16)),2)</f>
        <v>35.840000000000003</v>
      </c>
      <c r="Q16" s="10">
        <f>ROUND(MAX($D16:$E16)+MIN($D16:$E16)*SUMIFS(PrefFlows!$C:$C,PrefFlows!$A:$A,INDEX($D$1:$E$1,MATCH(MIN($D16:$E16),$D16:$E16,0)),PrefFlows!$B:$B,$B16),2)</f>
        <v>50.62</v>
      </c>
      <c r="R16" s="10">
        <f t="shared" si="6"/>
        <v>0.67</v>
      </c>
      <c r="S16" s="10">
        <f t="shared" si="7"/>
        <v>7.11</v>
      </c>
      <c r="T16" s="7">
        <f t="shared" si="8"/>
        <v>5.76</v>
      </c>
      <c r="U16" s="9">
        <f t="shared" si="9"/>
        <v>14.78</v>
      </c>
      <c r="V16" s="10">
        <f>ROUND($R16*SUMIFS(PrefFlows!$C:$C,PrefFlows!$A:$A,$R$1,PrefFlows!$B:$B,$B16)+$S16*SUMIFS(PrefFlows!$C:$C,PrefFlows!$A:$A,$S$1,PrefFlows!$B:$B,$B16)+$T16*SUMIFS(PrefFlows!$C:$C,PrefFlows!$A:$A,$T$1,PrefFlows!$B:$B,$B16),2)</f>
        <v>4.8</v>
      </c>
      <c r="W16" s="7">
        <f>ROUND($R16*(1-SUMIFS(PrefFlows!$C:$C,PrefFlows!$A:$A,$R$1,PrefFlows!$B:$B,$B16))+$S16*(1-SUMIFS(PrefFlows!$C:$C,PrefFlows!$A:$A,$S$1,PrefFlows!$B:$B,$B16))+$T16*(1-SUMIFS(PrefFlows!$C:$C,PrefFlows!$A:$A,$T$1,PrefFlows!$B:$B,$B16)),2)</f>
        <v>8.74</v>
      </c>
      <c r="X16" s="10">
        <f t="shared" si="10"/>
        <v>4.75</v>
      </c>
      <c r="Y16" s="7">
        <f t="shared" si="11"/>
        <v>8.7899999999999991</v>
      </c>
      <c r="Z16" s="10">
        <f t="shared" si="12"/>
        <v>0.35449999999999998</v>
      </c>
      <c r="AA16" s="10">
        <f t="shared" si="13"/>
        <v>0.3508</v>
      </c>
      <c r="AB16" s="10">
        <f t="shared" si="14"/>
        <v>-3.7000000000000002E-3</v>
      </c>
      <c r="AC16" s="7">
        <v>-4.8956221639981298E-2</v>
      </c>
      <c r="AD16" s="10">
        <f>ROUND(R16*(1-(Exhaust!$B$2+AC16)),2)</f>
        <v>0.33</v>
      </c>
      <c r="AE16" s="10">
        <f>ROUND(S16*(1-(Exhaust!$B$3+$AC16)),2)</f>
        <v>4.6100000000000003</v>
      </c>
      <c r="AF16" s="7">
        <f>ROUND(T16*(1-(Exhaust!$B$4+$AC16)),2)</f>
        <v>3.16</v>
      </c>
      <c r="AG16" s="10">
        <f>ROUND($AD16*(SUMIFS(PrefFlows!$C:$C,PrefFlows!$A:$A,$R$1,PrefFlows!$B:$B,$B16)+$AB16)+$AE16*(SUMIFS(PrefFlows!$C:$C,PrefFlows!$A:$A,$S$1,PrefFlows!$B:$B,$B16)+$AB16)+$AF16*(SUMIFS(PrefFlows!$C:$C,PrefFlows!$A:$A,$T$1,PrefFlows!$B:$B,$B16)+$AB16),2)</f>
        <v>2.73</v>
      </c>
      <c r="AH16" s="7">
        <f>ROUND($AD16*(1-(SUMIFS(PrefFlows!$C:$C,PrefFlows!$A:$A,$R$1,PrefFlows!$B:$B,$B16)+$AB16))+$AE16*(1-(SUMIFS(PrefFlows!$C:$C,PrefFlows!$A:$A,$S$1,PrefFlows!$B:$B,$B16)+$AB16))+$AF16*(1-(SUMIFS(PrefFlows!$C:$C,PrefFlows!$A:$A,$T$1,PrefFlows!$B:$B,$B16)+$AB16)),2)</f>
        <v>5.37</v>
      </c>
      <c r="AI16" s="10">
        <f t="shared" si="15"/>
        <v>53.35</v>
      </c>
      <c r="AJ16" s="7">
        <f t="shared" si="16"/>
        <v>41.21</v>
      </c>
      <c r="AK16" s="10">
        <f t="shared" si="17"/>
        <v>56.42</v>
      </c>
      <c r="AL16" s="7">
        <f t="shared" si="17"/>
        <v>43.58</v>
      </c>
      <c r="AM16" s="1">
        <f t="shared" si="0"/>
        <v>5.37</v>
      </c>
      <c r="AN16" s="1">
        <f t="shared" si="1"/>
        <v>6.78</v>
      </c>
      <c r="AO16" s="7">
        <f t="shared" si="2"/>
        <v>6.42</v>
      </c>
      <c r="AP16" s="1" t="b">
        <f t="shared" si="18"/>
        <v>0</v>
      </c>
      <c r="AQ16" s="1" t="b">
        <f t="shared" si="18"/>
        <v>0</v>
      </c>
      <c r="AR16" s="7" t="b">
        <f t="shared" si="19"/>
        <v>0</v>
      </c>
      <c r="AS16" s="1">
        <f t="shared" si="20"/>
        <v>1.4100000000000001</v>
      </c>
      <c r="AT16" s="1">
        <f t="shared" si="20"/>
        <v>1.0499999999999998</v>
      </c>
      <c r="AU16" s="7">
        <f t="shared" si="21"/>
        <v>0.36000000000000032</v>
      </c>
      <c r="AV16" s="1">
        <f>ROUND(IF(B16="NSW",N16*Meta!$B$6,N16),1)</f>
        <v>3976</v>
      </c>
      <c r="AW16" s="7">
        <f t="shared" si="3"/>
        <v>82967.7</v>
      </c>
    </row>
    <row r="17" spans="1:49" x14ac:dyDescent="0.55000000000000004">
      <c r="A17" s="11" t="s">
        <v>27</v>
      </c>
      <c r="B17" s="7" t="s">
        <v>23</v>
      </c>
      <c r="C17" s="10">
        <v>35.51</v>
      </c>
      <c r="D17" s="10">
        <v>50.59</v>
      </c>
      <c r="E17" s="10">
        <v>4.0199999999999996</v>
      </c>
      <c r="F17" s="10">
        <v>1.07</v>
      </c>
      <c r="G17" s="10">
        <v>0</v>
      </c>
      <c r="H17" s="10">
        <v>4.79</v>
      </c>
      <c r="I17" s="10">
        <v>4.0199999999999996</v>
      </c>
      <c r="J17" s="7">
        <f t="shared" si="4"/>
        <v>5.09</v>
      </c>
      <c r="K17" s="10">
        <v>59.12</v>
      </c>
      <c r="L17" s="7">
        <v>40.880000000000003</v>
      </c>
      <c r="M17" s="10">
        <v>81872</v>
      </c>
      <c r="N17" s="10">
        <v>4063</v>
      </c>
      <c r="O17" s="7">
        <f t="shared" si="5"/>
        <v>77809</v>
      </c>
      <c r="P17" s="10">
        <f>ROUND($C17+MIN($D17:$E17)*(1-SUMIFS(PrefFlows!$C:$C,PrefFlows!$A:$A,INDEX($D$1:$E$1,MATCH(MIN($D17:$E17),$D17:$E17,0)),PrefFlows!$B:$B,$B17)),2)</f>
        <v>36.15</v>
      </c>
      <c r="Q17" s="10">
        <f>ROUND(MAX($D17:$E17)+MIN($D17:$E17)*SUMIFS(PrefFlows!$C:$C,PrefFlows!$A:$A,INDEX($D$1:$E$1,MATCH(MIN($D17:$E17),$D17:$E17,0)),PrefFlows!$B:$B,$B17),2)</f>
        <v>53.97</v>
      </c>
      <c r="R17" s="10">
        <f t="shared" si="6"/>
        <v>0</v>
      </c>
      <c r="S17" s="10">
        <f t="shared" si="7"/>
        <v>4.79</v>
      </c>
      <c r="T17" s="7">
        <f t="shared" si="8"/>
        <v>5.09</v>
      </c>
      <c r="U17" s="9">
        <f t="shared" si="9"/>
        <v>17.82</v>
      </c>
      <c r="V17" s="10">
        <f>ROUND($R17*SUMIFS(PrefFlows!$C:$C,PrefFlows!$A:$A,$R$1,PrefFlows!$B:$B,$B17)+$S17*SUMIFS(PrefFlows!$C:$C,PrefFlows!$A:$A,$S$1,PrefFlows!$B:$B,$B17)+$T17*SUMIFS(PrefFlows!$C:$C,PrefFlows!$A:$A,$T$1,PrefFlows!$B:$B,$B17),2)</f>
        <v>3.79</v>
      </c>
      <c r="W17" s="7">
        <f>ROUND($R17*(1-SUMIFS(PrefFlows!$C:$C,PrefFlows!$A:$A,$R$1,PrefFlows!$B:$B,$B17))+$S17*(1-SUMIFS(PrefFlows!$C:$C,PrefFlows!$A:$A,$S$1,PrefFlows!$B:$B,$B17))+$T17*(1-SUMIFS(PrefFlows!$C:$C,PrefFlows!$A:$A,$T$1,PrefFlows!$B:$B,$B17)),2)</f>
        <v>6.09</v>
      </c>
      <c r="X17" s="10">
        <f t="shared" si="10"/>
        <v>5.15</v>
      </c>
      <c r="Y17" s="7">
        <f t="shared" si="11"/>
        <v>4.7300000000000004</v>
      </c>
      <c r="Z17" s="10">
        <f t="shared" si="12"/>
        <v>0.3836</v>
      </c>
      <c r="AA17" s="10">
        <f t="shared" si="13"/>
        <v>0.52129999999999999</v>
      </c>
      <c r="AB17" s="10">
        <f t="shared" si="14"/>
        <v>0.13769999999999999</v>
      </c>
      <c r="AC17" s="7">
        <v>5.1380498091038999E-2</v>
      </c>
      <c r="AD17" s="10">
        <f>ROUND(R17*(1-(Exhaust!$B$2+AC17)),2)</f>
        <v>0</v>
      </c>
      <c r="AE17" s="10">
        <f>ROUND(S17*(1-(Exhaust!$B$3+$AC17)),2)</f>
        <v>2.63</v>
      </c>
      <c r="AF17" s="7">
        <f>ROUND(T17*(1-(Exhaust!$B$4+$AC17)),2)</f>
        <v>2.2799999999999998</v>
      </c>
      <c r="AG17" s="10">
        <f>ROUND($AD17*(SUMIFS(PrefFlows!$C:$C,PrefFlows!$A:$A,$R$1,PrefFlows!$B:$B,$B17)+$AB17)+$AE17*(SUMIFS(PrefFlows!$C:$C,PrefFlows!$A:$A,$S$1,PrefFlows!$B:$B,$B17)+$AB17)+$AF17*(SUMIFS(PrefFlows!$C:$C,PrefFlows!$A:$A,$T$1,PrefFlows!$B:$B,$B17)+$AB17),2)</f>
        <v>2.4900000000000002</v>
      </c>
      <c r="AH17" s="7">
        <f>ROUND($AD17*(1-(SUMIFS(PrefFlows!$C:$C,PrefFlows!$A:$A,$R$1,PrefFlows!$B:$B,$B17)+$AB17))+$AE17*(1-(SUMIFS(PrefFlows!$C:$C,PrefFlows!$A:$A,$S$1,PrefFlows!$B:$B,$B17)+$AB17))+$AF17*(1-(SUMIFS(PrefFlows!$C:$C,PrefFlows!$A:$A,$T$1,PrefFlows!$B:$B,$B17)+$AB17)),2)</f>
        <v>2.42</v>
      </c>
      <c r="AI17" s="10">
        <f t="shared" si="15"/>
        <v>56.46</v>
      </c>
      <c r="AJ17" s="7">
        <f t="shared" si="16"/>
        <v>38.57</v>
      </c>
      <c r="AK17" s="10">
        <f t="shared" si="17"/>
        <v>59.41</v>
      </c>
      <c r="AL17" s="7">
        <f t="shared" si="17"/>
        <v>40.590000000000003</v>
      </c>
      <c r="AM17" s="1">
        <f t="shared" si="0"/>
        <v>9.1199999999999992</v>
      </c>
      <c r="AN17" s="1">
        <f t="shared" si="1"/>
        <v>9.4700000000000006</v>
      </c>
      <c r="AO17" s="7">
        <f t="shared" si="2"/>
        <v>9.41</v>
      </c>
      <c r="AP17" s="1" t="b">
        <f t="shared" si="18"/>
        <v>0</v>
      </c>
      <c r="AQ17" s="1" t="b">
        <f t="shared" si="18"/>
        <v>0</v>
      </c>
      <c r="AR17" s="7" t="b">
        <f t="shared" si="19"/>
        <v>0</v>
      </c>
      <c r="AS17" s="1">
        <f t="shared" si="20"/>
        <v>0.35000000000000142</v>
      </c>
      <c r="AT17" s="1">
        <f t="shared" si="20"/>
        <v>0.29000000000000092</v>
      </c>
      <c r="AU17" s="7">
        <f t="shared" si="21"/>
        <v>6.0000000000000497E-2</v>
      </c>
      <c r="AV17" s="1">
        <f>ROUND(IF(B17="NSW",N17*Meta!$B$6,N17),1)</f>
        <v>4063</v>
      </c>
      <c r="AW17" s="7">
        <f t="shared" si="3"/>
        <v>75430.399999999994</v>
      </c>
    </row>
    <row r="18" spans="1:49" x14ac:dyDescent="0.55000000000000004">
      <c r="A18" s="11" t="s">
        <v>28</v>
      </c>
      <c r="B18" s="7" t="s">
        <v>17</v>
      </c>
      <c r="C18" s="10">
        <v>43.05</v>
      </c>
      <c r="D18" s="10">
        <v>47.36</v>
      </c>
      <c r="E18" s="10">
        <v>0</v>
      </c>
      <c r="F18" s="10">
        <v>0</v>
      </c>
      <c r="G18" s="10">
        <v>0</v>
      </c>
      <c r="H18" s="10">
        <v>5.61</v>
      </c>
      <c r="I18" s="10">
        <v>3.98</v>
      </c>
      <c r="J18" s="7">
        <f t="shared" si="4"/>
        <v>3.98</v>
      </c>
      <c r="K18" s="10">
        <v>51.13</v>
      </c>
      <c r="L18" s="7">
        <v>48.87</v>
      </c>
      <c r="M18" s="10">
        <v>67213</v>
      </c>
      <c r="N18" s="10">
        <v>2426</v>
      </c>
      <c r="O18" s="7">
        <f t="shared" si="5"/>
        <v>64787</v>
      </c>
      <c r="P18" s="10">
        <f>ROUND($C18+MIN($D18:$E18)*(1-SUMIFS(PrefFlows!$C:$C,PrefFlows!$A:$A,INDEX($D$1:$E$1,MATCH(MIN($D18:$E18),$D18:$E18,0)),PrefFlows!$B:$B,$B18)),2)</f>
        <v>43.05</v>
      </c>
      <c r="Q18" s="10">
        <f>ROUND(MAX($D18:$E18)+MIN($D18:$E18)*SUMIFS(PrefFlows!$C:$C,PrefFlows!$A:$A,INDEX($D$1:$E$1,MATCH(MIN($D18:$E18),$D18:$E18,0)),PrefFlows!$B:$B,$B18),2)</f>
        <v>47.36</v>
      </c>
      <c r="R18" s="10">
        <f t="shared" si="6"/>
        <v>0</v>
      </c>
      <c r="S18" s="10">
        <f t="shared" si="7"/>
        <v>5.61</v>
      </c>
      <c r="T18" s="7">
        <f t="shared" si="8"/>
        <v>3.98</v>
      </c>
      <c r="U18" s="9">
        <f t="shared" si="9"/>
        <v>4.3099999999999996</v>
      </c>
      <c r="V18" s="10">
        <f>ROUND($R18*SUMIFS(PrefFlows!$C:$C,PrefFlows!$A:$A,$R$1,PrefFlows!$B:$B,$B18)+$S18*SUMIFS(PrefFlows!$C:$C,PrefFlows!$A:$A,$S$1,PrefFlows!$B:$B,$B18)+$T18*SUMIFS(PrefFlows!$C:$C,PrefFlows!$A:$A,$T$1,PrefFlows!$B:$B,$B18),2)</f>
        <v>3.21</v>
      </c>
      <c r="W18" s="7">
        <f>ROUND($R18*(1-SUMIFS(PrefFlows!$C:$C,PrefFlows!$A:$A,$R$1,PrefFlows!$B:$B,$B18))+$S18*(1-SUMIFS(PrefFlows!$C:$C,PrefFlows!$A:$A,$S$1,PrefFlows!$B:$B,$B18))+$T18*(1-SUMIFS(PrefFlows!$C:$C,PrefFlows!$A:$A,$T$1,PrefFlows!$B:$B,$B18)),2)</f>
        <v>6.38</v>
      </c>
      <c r="X18" s="10">
        <f t="shared" si="10"/>
        <v>3.77</v>
      </c>
      <c r="Y18" s="7">
        <f t="shared" si="11"/>
        <v>5.82</v>
      </c>
      <c r="Z18" s="10">
        <f t="shared" si="12"/>
        <v>0.3347</v>
      </c>
      <c r="AA18" s="10">
        <f t="shared" si="13"/>
        <v>0.3931</v>
      </c>
      <c r="AB18" s="10">
        <f t="shared" si="14"/>
        <v>5.8400000000000001E-2</v>
      </c>
      <c r="AC18" s="7">
        <v>4.9103436263436703E-2</v>
      </c>
      <c r="AD18" s="10">
        <f>ROUND(R18*(1-(Exhaust!$B$2+AC18)),2)</f>
        <v>0</v>
      </c>
      <c r="AE18" s="10">
        <f>ROUND(S18*(1-(Exhaust!$B$3+$AC18)),2)</f>
        <v>3.09</v>
      </c>
      <c r="AF18" s="7">
        <f>ROUND(T18*(1-(Exhaust!$B$4+$AC18)),2)</f>
        <v>1.79</v>
      </c>
      <c r="AG18" s="10">
        <f>ROUND($AD18*(SUMIFS(PrefFlows!$C:$C,PrefFlows!$A:$A,$R$1,PrefFlows!$B:$B,$B18)+$AB18)+$AE18*(SUMIFS(PrefFlows!$C:$C,PrefFlows!$A:$A,$S$1,PrefFlows!$B:$B,$B18)+$AB18)+$AF18*(SUMIFS(PrefFlows!$C:$C,PrefFlows!$A:$A,$T$1,PrefFlows!$B:$B,$B18)+$AB18),2)</f>
        <v>1.84</v>
      </c>
      <c r="AH18" s="7">
        <f>ROUND($AD18*(1-(SUMIFS(PrefFlows!$C:$C,PrefFlows!$A:$A,$R$1,PrefFlows!$B:$B,$B18)+$AB18))+$AE18*(1-(SUMIFS(PrefFlows!$C:$C,PrefFlows!$A:$A,$S$1,PrefFlows!$B:$B,$B18)+$AB18))+$AF18*(1-(SUMIFS(PrefFlows!$C:$C,PrefFlows!$A:$A,$T$1,PrefFlows!$B:$B,$B18)+$AB18)),2)</f>
        <v>3.04</v>
      </c>
      <c r="AI18" s="10">
        <f t="shared" si="15"/>
        <v>49.2</v>
      </c>
      <c r="AJ18" s="7">
        <f t="shared" si="16"/>
        <v>46.09</v>
      </c>
      <c r="AK18" s="10">
        <f t="shared" si="17"/>
        <v>51.63</v>
      </c>
      <c r="AL18" s="7">
        <f t="shared" si="17"/>
        <v>48.37</v>
      </c>
      <c r="AM18" s="1">
        <f t="shared" si="0"/>
        <v>1.1299999999999999</v>
      </c>
      <c r="AN18" s="1">
        <f t="shared" si="1"/>
        <v>1.7</v>
      </c>
      <c r="AO18" s="7">
        <f t="shared" si="2"/>
        <v>1.63</v>
      </c>
      <c r="AP18" s="1" t="b">
        <f t="shared" si="18"/>
        <v>0</v>
      </c>
      <c r="AQ18" s="1" t="b">
        <f t="shared" si="18"/>
        <v>0</v>
      </c>
      <c r="AR18" s="7" t="b">
        <f t="shared" si="19"/>
        <v>0</v>
      </c>
      <c r="AS18" s="1">
        <f t="shared" si="20"/>
        <v>0.57000000000000006</v>
      </c>
      <c r="AT18" s="1">
        <f t="shared" si="20"/>
        <v>0.5</v>
      </c>
      <c r="AU18" s="7">
        <f t="shared" si="21"/>
        <v>7.0000000000000062E-2</v>
      </c>
      <c r="AV18" s="1">
        <f>ROUND(IF(B18="NSW",N18*Meta!$B$6,N18),1)</f>
        <v>2426</v>
      </c>
      <c r="AW18" s="7">
        <f t="shared" si="3"/>
        <v>62626.7</v>
      </c>
    </row>
    <row r="19" spans="1:49" x14ac:dyDescent="0.55000000000000004">
      <c r="A19" s="11" t="s">
        <v>29</v>
      </c>
      <c r="B19" s="7" t="s">
        <v>13</v>
      </c>
      <c r="C19" s="10">
        <v>20.72</v>
      </c>
      <c r="D19" s="10">
        <v>63.58</v>
      </c>
      <c r="E19" s="10">
        <v>0</v>
      </c>
      <c r="F19" s="10">
        <v>2.44</v>
      </c>
      <c r="G19" s="10">
        <v>0</v>
      </c>
      <c r="H19" s="10">
        <v>11.45</v>
      </c>
      <c r="I19" s="10">
        <v>1.81</v>
      </c>
      <c r="J19" s="7">
        <f t="shared" si="4"/>
        <v>4.25</v>
      </c>
      <c r="K19" s="10">
        <v>68.510000000000005</v>
      </c>
      <c r="L19" s="7">
        <v>31.49</v>
      </c>
      <c r="M19" s="10">
        <v>84445</v>
      </c>
      <c r="N19" s="10">
        <v>3675</v>
      </c>
      <c r="O19" s="7">
        <f t="shared" si="5"/>
        <v>80770</v>
      </c>
      <c r="P19" s="10">
        <f>ROUND($C19+MIN($D19:$E19)*(1-SUMIFS(PrefFlows!$C:$C,PrefFlows!$A:$A,INDEX($D$1:$E$1,MATCH(MIN($D19:$E19),$D19:$E19,0)),PrefFlows!$B:$B,$B19)),2)</f>
        <v>20.72</v>
      </c>
      <c r="Q19" s="10">
        <f>ROUND(MAX($D19:$E19)+MIN($D19:$E19)*SUMIFS(PrefFlows!$C:$C,PrefFlows!$A:$A,INDEX($D$1:$E$1,MATCH(MIN($D19:$E19),$D19:$E19,0)),PrefFlows!$B:$B,$B19),2)</f>
        <v>63.58</v>
      </c>
      <c r="R19" s="10">
        <f t="shared" si="6"/>
        <v>0</v>
      </c>
      <c r="S19" s="10">
        <f t="shared" si="7"/>
        <v>11.45</v>
      </c>
      <c r="T19" s="7">
        <f t="shared" si="8"/>
        <v>4.25</v>
      </c>
      <c r="U19" s="9">
        <f t="shared" si="9"/>
        <v>42.86</v>
      </c>
      <c r="V19" s="10">
        <f>ROUND($R19*SUMIFS(PrefFlows!$C:$C,PrefFlows!$A:$A,$R$1,PrefFlows!$B:$B,$B19)+$S19*SUMIFS(PrefFlows!$C:$C,PrefFlows!$A:$A,$S$1,PrefFlows!$B:$B,$B19)+$T19*SUMIFS(PrefFlows!$C:$C,PrefFlows!$A:$A,$T$1,PrefFlows!$B:$B,$B19),2)</f>
        <v>4.26</v>
      </c>
      <c r="W19" s="7">
        <f>ROUND($R19*(1-SUMIFS(PrefFlows!$C:$C,PrefFlows!$A:$A,$R$1,PrefFlows!$B:$B,$B19))+$S19*(1-SUMIFS(PrefFlows!$C:$C,PrefFlows!$A:$A,$S$1,PrefFlows!$B:$B,$B19))+$T19*(1-SUMIFS(PrefFlows!$C:$C,PrefFlows!$A:$A,$T$1,PrefFlows!$B:$B,$B19)),2)</f>
        <v>11.44</v>
      </c>
      <c r="X19" s="10">
        <f t="shared" si="10"/>
        <v>4.93</v>
      </c>
      <c r="Y19" s="7">
        <f t="shared" si="11"/>
        <v>10.77</v>
      </c>
      <c r="Z19" s="10">
        <f t="shared" si="12"/>
        <v>0.27129999999999999</v>
      </c>
      <c r="AA19" s="10">
        <f t="shared" si="13"/>
        <v>0.314</v>
      </c>
      <c r="AB19" s="10">
        <f t="shared" si="14"/>
        <v>4.2700000000000002E-2</v>
      </c>
      <c r="AC19" s="7">
        <v>1.3322122104799701E-2</v>
      </c>
      <c r="AD19" s="10">
        <f>ROUND(R19*(1-(Exhaust!$B$2+AC19)),2)</f>
        <v>0</v>
      </c>
      <c r="AE19" s="10">
        <f>ROUND(S19*(1-(Exhaust!$B$3+$AC19)),2)</f>
        <v>6.72</v>
      </c>
      <c r="AF19" s="7">
        <f>ROUND(T19*(1-(Exhaust!$B$4+$AC19)),2)</f>
        <v>2.0699999999999998</v>
      </c>
      <c r="AG19" s="10">
        <f>ROUND($AD19*(SUMIFS(PrefFlows!$C:$C,PrefFlows!$A:$A,$R$1,PrefFlows!$B:$B,$B19)+$AB19)+$AE19*(SUMIFS(PrefFlows!$C:$C,PrefFlows!$A:$A,$S$1,PrefFlows!$B:$B,$B19)+$AB19)+$AF19*(SUMIFS(PrefFlows!$C:$C,PrefFlows!$A:$A,$T$1,PrefFlows!$B:$B,$B19)+$AB19),2)</f>
        <v>2.65</v>
      </c>
      <c r="AH19" s="7">
        <f>ROUND($AD19*(1-(SUMIFS(PrefFlows!$C:$C,PrefFlows!$A:$A,$R$1,PrefFlows!$B:$B,$B19)+$AB19))+$AE19*(1-(SUMIFS(PrefFlows!$C:$C,PrefFlows!$A:$A,$S$1,PrefFlows!$B:$B,$B19)+$AB19))+$AF19*(1-(SUMIFS(PrefFlows!$C:$C,PrefFlows!$A:$A,$T$1,PrefFlows!$B:$B,$B19)+$AB19)),2)</f>
        <v>6.14</v>
      </c>
      <c r="AI19" s="10">
        <f t="shared" si="15"/>
        <v>66.23</v>
      </c>
      <c r="AJ19" s="7">
        <f t="shared" si="16"/>
        <v>26.86</v>
      </c>
      <c r="AK19" s="10">
        <f t="shared" si="17"/>
        <v>71.150000000000006</v>
      </c>
      <c r="AL19" s="7">
        <f t="shared" si="17"/>
        <v>28.85</v>
      </c>
      <c r="AM19" s="1">
        <f t="shared" si="0"/>
        <v>18.510000000000002</v>
      </c>
      <c r="AN19" s="1">
        <f t="shared" si="1"/>
        <v>21.53</v>
      </c>
      <c r="AO19" s="7">
        <f t="shared" si="2"/>
        <v>21.15</v>
      </c>
      <c r="AP19" s="1" t="b">
        <f t="shared" si="18"/>
        <v>0</v>
      </c>
      <c r="AQ19" s="1" t="b">
        <f t="shared" si="18"/>
        <v>0</v>
      </c>
      <c r="AR19" s="7" t="b">
        <f t="shared" si="19"/>
        <v>0</v>
      </c>
      <c r="AS19" s="1">
        <f t="shared" si="20"/>
        <v>3.0199999999999996</v>
      </c>
      <c r="AT19" s="1">
        <f t="shared" si="20"/>
        <v>2.639999999999997</v>
      </c>
      <c r="AU19" s="7">
        <f t="shared" si="21"/>
        <v>0.38000000000000256</v>
      </c>
      <c r="AV19" s="1">
        <f>ROUND(IF(B19="NSW",N19*Meta!$B$6,N19),1)</f>
        <v>2462.3000000000002</v>
      </c>
      <c r="AW19" s="7">
        <f t="shared" si="3"/>
        <v>77201.399999999994</v>
      </c>
    </row>
    <row r="20" spans="1:49" x14ac:dyDescent="0.55000000000000004">
      <c r="A20" s="11" t="s">
        <v>30</v>
      </c>
      <c r="B20" s="7" t="s">
        <v>31</v>
      </c>
      <c r="C20" s="10">
        <v>47.09</v>
      </c>
      <c r="D20" s="10">
        <v>39.89</v>
      </c>
      <c r="E20" s="10">
        <v>0</v>
      </c>
      <c r="F20" s="10">
        <v>0.84</v>
      </c>
      <c r="G20" s="10">
        <v>2.76</v>
      </c>
      <c r="H20" s="10">
        <v>4.83</v>
      </c>
      <c r="I20" s="10">
        <v>7.35</v>
      </c>
      <c r="J20" s="7">
        <f t="shared" si="4"/>
        <v>5.43</v>
      </c>
      <c r="K20" s="10">
        <v>45.35</v>
      </c>
      <c r="L20" s="7">
        <v>54.65</v>
      </c>
      <c r="M20" s="10">
        <v>78670</v>
      </c>
      <c r="N20" s="10">
        <v>4566</v>
      </c>
      <c r="O20" s="7">
        <f t="shared" si="5"/>
        <v>74104</v>
      </c>
      <c r="P20" s="10">
        <f>ROUND($C20+MIN($D20:$E20)*(1-SUMIFS(PrefFlows!$C:$C,PrefFlows!$A:$A,INDEX($D$1:$E$1,MATCH(MIN($D20:$E20),$D20:$E20,0)),PrefFlows!$B:$B,$B20)),2)</f>
        <v>47.09</v>
      </c>
      <c r="Q20" s="10">
        <f>ROUND(MAX($D20:$E20)+MIN($D20:$E20)*SUMIFS(PrefFlows!$C:$C,PrefFlows!$A:$A,INDEX($D$1:$E$1,MATCH(MIN($D20:$E20),$D20:$E20,0)),PrefFlows!$B:$B,$B20),2)</f>
        <v>39.89</v>
      </c>
      <c r="R20" s="10">
        <f t="shared" si="6"/>
        <v>2.76</v>
      </c>
      <c r="S20" s="10">
        <f t="shared" si="7"/>
        <v>4.83</v>
      </c>
      <c r="T20" s="7">
        <f t="shared" si="8"/>
        <v>5.43</v>
      </c>
      <c r="U20" s="9">
        <f t="shared" si="9"/>
        <v>-7.2</v>
      </c>
      <c r="V20" s="10">
        <f>ROUND($R20*SUMIFS(PrefFlows!$C:$C,PrefFlows!$A:$A,$R$1,PrefFlows!$B:$B,$B20)+$S20*SUMIFS(PrefFlows!$C:$C,PrefFlows!$A:$A,$S$1,PrefFlows!$B:$B,$B20)+$T20*SUMIFS(PrefFlows!$C:$C,PrefFlows!$A:$A,$T$1,PrefFlows!$B:$B,$B20),2)</f>
        <v>5.48</v>
      </c>
      <c r="W20" s="7">
        <f>ROUND($R20*(1-SUMIFS(PrefFlows!$C:$C,PrefFlows!$A:$A,$R$1,PrefFlows!$B:$B,$B20))+$S20*(1-SUMIFS(PrefFlows!$C:$C,PrefFlows!$A:$A,$S$1,PrefFlows!$B:$B,$B20))+$T20*(1-SUMIFS(PrefFlows!$C:$C,PrefFlows!$A:$A,$T$1,PrefFlows!$B:$B,$B20)),2)</f>
        <v>7.54</v>
      </c>
      <c r="X20" s="10">
        <f t="shared" si="10"/>
        <v>5.46</v>
      </c>
      <c r="Y20" s="7">
        <f t="shared" si="11"/>
        <v>7.56</v>
      </c>
      <c r="Z20" s="10">
        <f t="shared" si="12"/>
        <v>0.4209</v>
      </c>
      <c r="AA20" s="10">
        <f t="shared" si="13"/>
        <v>0.4194</v>
      </c>
      <c r="AB20" s="10">
        <f t="shared" si="14"/>
        <v>-1.5E-3</v>
      </c>
      <c r="AC20" s="7">
        <v>9.9693707313157603E-2</v>
      </c>
      <c r="AD20" s="10">
        <f>ROUND(R20*(1-(Exhaust!$B$2+AC20)),2)</f>
        <v>0.94</v>
      </c>
      <c r="AE20" s="10">
        <f>ROUND(S20*(1-(Exhaust!$B$3+$AC20)),2)</f>
        <v>2.42</v>
      </c>
      <c r="AF20" s="7">
        <f>ROUND(T20*(1-(Exhaust!$B$4+$AC20)),2)</f>
        <v>2.17</v>
      </c>
      <c r="AG20" s="10">
        <f>ROUND($AD20*(SUMIFS(PrefFlows!$C:$C,PrefFlows!$A:$A,$R$1,PrefFlows!$B:$B,$B20)+$AB20)+$AE20*(SUMIFS(PrefFlows!$C:$C,PrefFlows!$A:$A,$S$1,PrefFlows!$B:$B,$B20)+$AB20)+$AF20*(SUMIFS(PrefFlows!$C:$C,PrefFlows!$A:$A,$T$1,PrefFlows!$B:$B,$B20)+$AB20),2)</f>
        <v>2.2000000000000002</v>
      </c>
      <c r="AH20" s="7">
        <f>ROUND($AD20*(1-(SUMIFS(PrefFlows!$C:$C,PrefFlows!$A:$A,$R$1,PrefFlows!$B:$B,$B20)+$AB20))+$AE20*(1-(SUMIFS(PrefFlows!$C:$C,PrefFlows!$A:$A,$S$1,PrefFlows!$B:$B,$B20)+$AB20))+$AF20*(1-(SUMIFS(PrefFlows!$C:$C,PrefFlows!$A:$A,$T$1,PrefFlows!$B:$B,$B20)+$AB20)),2)</f>
        <v>3.33</v>
      </c>
      <c r="AI20" s="10">
        <f t="shared" si="15"/>
        <v>42.09</v>
      </c>
      <c r="AJ20" s="7">
        <f t="shared" si="16"/>
        <v>50.42</v>
      </c>
      <c r="AK20" s="10">
        <f t="shared" si="17"/>
        <v>45.5</v>
      </c>
      <c r="AL20" s="7">
        <f t="shared" si="17"/>
        <v>54.5</v>
      </c>
      <c r="AM20" s="1">
        <f t="shared" si="0"/>
        <v>-4.6500000000000004</v>
      </c>
      <c r="AN20" s="1">
        <f t="shared" si="1"/>
        <v>-4.42</v>
      </c>
      <c r="AO20" s="7">
        <f t="shared" si="2"/>
        <v>-4.5</v>
      </c>
      <c r="AP20" s="1" t="b">
        <f t="shared" si="18"/>
        <v>0</v>
      </c>
      <c r="AQ20" s="1" t="b">
        <f t="shared" si="18"/>
        <v>0</v>
      </c>
      <c r="AR20" s="7" t="b">
        <f t="shared" si="19"/>
        <v>0</v>
      </c>
      <c r="AS20" s="1">
        <f t="shared" si="20"/>
        <v>0.23000000000000043</v>
      </c>
      <c r="AT20" s="1">
        <f t="shared" si="20"/>
        <v>0.15000000000000036</v>
      </c>
      <c r="AU20" s="7">
        <f t="shared" si="21"/>
        <v>8.0000000000000071E-2</v>
      </c>
      <c r="AV20" s="1">
        <f>ROUND(IF(B20="NSW",N20*Meta!$B$6,N20),1)</f>
        <v>4566</v>
      </c>
      <c r="AW20" s="7">
        <f t="shared" si="3"/>
        <v>70182</v>
      </c>
    </row>
    <row r="21" spans="1:49" x14ac:dyDescent="0.55000000000000004">
      <c r="A21" s="11" t="s">
        <v>32</v>
      </c>
      <c r="B21" s="7" t="s">
        <v>23</v>
      </c>
      <c r="C21" s="10">
        <v>42.47</v>
      </c>
      <c r="D21" s="10">
        <v>39.99</v>
      </c>
      <c r="E21" s="10">
        <v>2.83</v>
      </c>
      <c r="F21" s="10">
        <v>1.6</v>
      </c>
      <c r="G21" s="10">
        <v>0</v>
      </c>
      <c r="H21" s="10">
        <v>9.26</v>
      </c>
      <c r="I21" s="10">
        <v>3.85</v>
      </c>
      <c r="J21" s="7">
        <f t="shared" si="4"/>
        <v>5.45</v>
      </c>
      <c r="K21" s="10">
        <v>46.1</v>
      </c>
      <c r="L21" s="7">
        <v>53.9</v>
      </c>
      <c r="M21" s="10">
        <v>82818</v>
      </c>
      <c r="N21" s="10">
        <v>3495</v>
      </c>
      <c r="O21" s="7">
        <f t="shared" si="5"/>
        <v>79323</v>
      </c>
      <c r="P21" s="10">
        <f>ROUND($C21+MIN($D21:$E21)*(1-SUMIFS(PrefFlows!$C:$C,PrefFlows!$A:$A,INDEX($D$1:$E$1,MATCH(MIN($D21:$E21),$D21:$E21,0)),PrefFlows!$B:$B,$B21)),2)</f>
        <v>42.92</v>
      </c>
      <c r="Q21" s="10">
        <f>ROUND(MAX($D21:$E21)+MIN($D21:$E21)*SUMIFS(PrefFlows!$C:$C,PrefFlows!$A:$A,INDEX($D$1:$E$1,MATCH(MIN($D21:$E21),$D21:$E21,0)),PrefFlows!$B:$B,$B21),2)</f>
        <v>42.37</v>
      </c>
      <c r="R21" s="10">
        <f t="shared" si="6"/>
        <v>0</v>
      </c>
      <c r="S21" s="10">
        <f t="shared" si="7"/>
        <v>9.26</v>
      </c>
      <c r="T21" s="7">
        <f t="shared" si="8"/>
        <v>5.45</v>
      </c>
      <c r="U21" s="9">
        <f t="shared" si="9"/>
        <v>-0.55000000000000004</v>
      </c>
      <c r="V21" s="10">
        <f>ROUND($R21*SUMIFS(PrefFlows!$C:$C,PrefFlows!$A:$A,$R$1,PrefFlows!$B:$B,$B21)+$S21*SUMIFS(PrefFlows!$C:$C,PrefFlows!$A:$A,$S$1,PrefFlows!$B:$B,$B21)+$T21*SUMIFS(PrefFlows!$C:$C,PrefFlows!$A:$A,$T$1,PrefFlows!$B:$B,$B21),2)</f>
        <v>5.09</v>
      </c>
      <c r="W21" s="7">
        <f>ROUND($R21*(1-SUMIFS(PrefFlows!$C:$C,PrefFlows!$A:$A,$R$1,PrefFlows!$B:$B,$B21))+$S21*(1-SUMIFS(PrefFlows!$C:$C,PrefFlows!$A:$A,$S$1,PrefFlows!$B:$B,$B21))+$T21*(1-SUMIFS(PrefFlows!$C:$C,PrefFlows!$A:$A,$T$1,PrefFlows!$B:$B,$B21)),2)</f>
        <v>9.6199999999999992</v>
      </c>
      <c r="X21" s="10">
        <f t="shared" si="10"/>
        <v>3.73</v>
      </c>
      <c r="Y21" s="7">
        <f t="shared" si="11"/>
        <v>10.98</v>
      </c>
      <c r="Z21" s="10">
        <f t="shared" si="12"/>
        <v>0.34599999999999997</v>
      </c>
      <c r="AA21" s="10">
        <f t="shared" si="13"/>
        <v>0.25359999999999999</v>
      </c>
      <c r="AB21" s="10">
        <f t="shared" si="14"/>
        <v>-9.2399999999999996E-2</v>
      </c>
      <c r="AC21" s="7">
        <v>-4.4237530842621699E-2</v>
      </c>
      <c r="AD21" s="10">
        <f>ROUND(R21*(1-(Exhaust!$B$2+AC21)),2)</f>
        <v>0</v>
      </c>
      <c r="AE21" s="10">
        <f>ROUND(S21*(1-(Exhaust!$B$3+$AC21)),2)</f>
        <v>5.97</v>
      </c>
      <c r="AF21" s="7">
        <f>ROUND(T21*(1-(Exhaust!$B$4+$AC21)),2)</f>
        <v>2.97</v>
      </c>
      <c r="AG21" s="10">
        <f>ROUND($AD21*(SUMIFS(PrefFlows!$C:$C,PrefFlows!$A:$A,$R$1,PrefFlows!$B:$B,$B21)+$AB21)+$AE21*(SUMIFS(PrefFlows!$C:$C,PrefFlows!$A:$A,$S$1,PrefFlows!$B:$B,$B21)+$AB21)+$AF21*(SUMIFS(PrefFlows!$C:$C,PrefFlows!$A:$A,$T$1,PrefFlows!$B:$B,$B21)+$AB21),2)</f>
        <v>2.1800000000000002</v>
      </c>
      <c r="AH21" s="7">
        <f>ROUND($AD21*(1-(SUMIFS(PrefFlows!$C:$C,PrefFlows!$A:$A,$R$1,PrefFlows!$B:$B,$B21)+$AB21))+$AE21*(1-(SUMIFS(PrefFlows!$C:$C,PrefFlows!$A:$A,$S$1,PrefFlows!$B:$B,$B21)+$AB21))+$AF21*(1-(SUMIFS(PrefFlows!$C:$C,PrefFlows!$A:$A,$T$1,PrefFlows!$B:$B,$B21)+$AB21)),2)</f>
        <v>6.76</v>
      </c>
      <c r="AI21" s="10">
        <f t="shared" si="15"/>
        <v>44.55</v>
      </c>
      <c r="AJ21" s="7">
        <f t="shared" si="16"/>
        <v>49.68</v>
      </c>
      <c r="AK21" s="10">
        <f t="shared" si="17"/>
        <v>47.28</v>
      </c>
      <c r="AL21" s="7">
        <f t="shared" si="17"/>
        <v>52.72</v>
      </c>
      <c r="AM21" s="1">
        <f t="shared" si="0"/>
        <v>-3.9</v>
      </c>
      <c r="AN21" s="1">
        <f t="shared" si="1"/>
        <v>-2.3199999999999998</v>
      </c>
      <c r="AO21" s="7">
        <f t="shared" si="2"/>
        <v>-2.72</v>
      </c>
      <c r="AP21" s="1" t="b">
        <f t="shared" si="18"/>
        <v>0</v>
      </c>
      <c r="AQ21" s="1" t="b">
        <f t="shared" si="18"/>
        <v>0</v>
      </c>
      <c r="AR21" s="7" t="b">
        <f t="shared" si="19"/>
        <v>0</v>
      </c>
      <c r="AS21" s="1">
        <f t="shared" si="20"/>
        <v>1.58</v>
      </c>
      <c r="AT21" s="1">
        <f t="shared" si="20"/>
        <v>1.1799999999999997</v>
      </c>
      <c r="AU21" s="7">
        <f t="shared" si="21"/>
        <v>0.40000000000000036</v>
      </c>
      <c r="AV21" s="1">
        <f>ROUND(IF(B21="NSW",N21*Meta!$B$6,N21),1)</f>
        <v>3495</v>
      </c>
      <c r="AW21" s="7">
        <f t="shared" si="3"/>
        <v>76015.7</v>
      </c>
    </row>
    <row r="22" spans="1:49" x14ac:dyDescent="0.55000000000000004">
      <c r="A22" s="11" t="s">
        <v>33</v>
      </c>
      <c r="B22" s="7" t="s">
        <v>10</v>
      </c>
      <c r="C22" s="10">
        <v>47.3</v>
      </c>
      <c r="D22" s="10">
        <v>43.09</v>
      </c>
      <c r="E22" s="10">
        <v>0</v>
      </c>
      <c r="F22" s="10">
        <v>1.38</v>
      </c>
      <c r="G22" s="10">
        <v>0</v>
      </c>
      <c r="H22" s="10">
        <v>5.24</v>
      </c>
      <c r="I22" s="10">
        <v>2.99</v>
      </c>
      <c r="J22" s="7">
        <f t="shared" si="4"/>
        <v>4.37</v>
      </c>
      <c r="K22" s="10">
        <v>46.52</v>
      </c>
      <c r="L22" s="7">
        <v>53.48</v>
      </c>
      <c r="M22" s="10">
        <v>82085</v>
      </c>
      <c r="N22" s="10">
        <v>3634</v>
      </c>
      <c r="O22" s="7">
        <f t="shared" si="5"/>
        <v>78451</v>
      </c>
      <c r="P22" s="10">
        <f>ROUND($C22+MIN($D22:$E22)*(1-SUMIFS(PrefFlows!$C:$C,PrefFlows!$A:$A,INDEX($D$1:$E$1,MATCH(MIN($D22:$E22),$D22:$E22,0)),PrefFlows!$B:$B,$B22)),2)</f>
        <v>47.3</v>
      </c>
      <c r="Q22" s="10">
        <f>ROUND(MAX($D22:$E22)+MIN($D22:$E22)*SUMIFS(PrefFlows!$C:$C,PrefFlows!$A:$A,INDEX($D$1:$E$1,MATCH(MIN($D22:$E22),$D22:$E22,0)),PrefFlows!$B:$B,$B22),2)</f>
        <v>43.09</v>
      </c>
      <c r="R22" s="10">
        <f t="shared" si="6"/>
        <v>0</v>
      </c>
      <c r="S22" s="10">
        <f t="shared" si="7"/>
        <v>5.24</v>
      </c>
      <c r="T22" s="7">
        <f t="shared" si="8"/>
        <v>4.37</v>
      </c>
      <c r="U22" s="9">
        <f t="shared" si="9"/>
        <v>-4.21</v>
      </c>
      <c r="V22" s="10">
        <f>ROUND($R22*SUMIFS(PrefFlows!$C:$C,PrefFlows!$A:$A,$R$1,PrefFlows!$B:$B,$B22)+$S22*SUMIFS(PrefFlows!$C:$C,PrefFlows!$A:$A,$S$1,PrefFlows!$B:$B,$B22)+$T22*SUMIFS(PrefFlows!$C:$C,PrefFlows!$A:$A,$T$1,PrefFlows!$B:$B,$B22),2)</f>
        <v>3.18</v>
      </c>
      <c r="W22" s="7">
        <f>ROUND($R22*(1-SUMIFS(PrefFlows!$C:$C,PrefFlows!$A:$A,$R$1,PrefFlows!$B:$B,$B22))+$S22*(1-SUMIFS(PrefFlows!$C:$C,PrefFlows!$A:$A,$S$1,PrefFlows!$B:$B,$B22))+$T22*(1-SUMIFS(PrefFlows!$C:$C,PrefFlows!$A:$A,$T$1,PrefFlows!$B:$B,$B22)),2)</f>
        <v>6.43</v>
      </c>
      <c r="X22" s="10">
        <f t="shared" si="10"/>
        <v>3.43</v>
      </c>
      <c r="Y22" s="7">
        <f t="shared" si="11"/>
        <v>6.18</v>
      </c>
      <c r="Z22" s="10">
        <f t="shared" si="12"/>
        <v>0.33090000000000003</v>
      </c>
      <c r="AA22" s="10">
        <f t="shared" si="13"/>
        <v>0.3569</v>
      </c>
      <c r="AB22" s="10">
        <f t="shared" si="14"/>
        <v>2.5999999999999999E-2</v>
      </c>
      <c r="AC22" s="7">
        <v>8.7664807529477303E-3</v>
      </c>
      <c r="AD22" s="10">
        <f>ROUND(R22*(1-(Exhaust!$B$2+AC22)),2)</f>
        <v>0</v>
      </c>
      <c r="AE22" s="10">
        <f>ROUND(S22*(1-(Exhaust!$B$3+$AC22)),2)</f>
        <v>3.1</v>
      </c>
      <c r="AF22" s="7">
        <f>ROUND(T22*(1-(Exhaust!$B$4+$AC22)),2)</f>
        <v>2.15</v>
      </c>
      <c r="AG22" s="10">
        <f>ROUND($AD22*(SUMIFS(PrefFlows!$C:$C,PrefFlows!$A:$A,$R$1,PrefFlows!$B:$B,$B22)+$AB22)+$AE22*(SUMIFS(PrefFlows!$C:$C,PrefFlows!$A:$A,$S$1,PrefFlows!$B:$B,$B22)+$AB22)+$AF22*(SUMIFS(PrefFlows!$C:$C,PrefFlows!$A:$A,$T$1,PrefFlows!$B:$B,$B22)+$AB22),2)</f>
        <v>1.79</v>
      </c>
      <c r="AH22" s="7">
        <f>ROUND($AD22*(1-(SUMIFS(PrefFlows!$C:$C,PrefFlows!$A:$A,$R$1,PrefFlows!$B:$B,$B22)+$AB22))+$AE22*(1-(SUMIFS(PrefFlows!$C:$C,PrefFlows!$A:$A,$S$1,PrefFlows!$B:$B,$B22)+$AB22))+$AF22*(1-(SUMIFS(PrefFlows!$C:$C,PrefFlows!$A:$A,$T$1,PrefFlows!$B:$B,$B22)+$AB22)),2)</f>
        <v>3.46</v>
      </c>
      <c r="AI22" s="10">
        <f t="shared" si="15"/>
        <v>44.88</v>
      </c>
      <c r="AJ22" s="7">
        <f t="shared" si="16"/>
        <v>50.76</v>
      </c>
      <c r="AK22" s="10">
        <f t="shared" si="17"/>
        <v>46.93</v>
      </c>
      <c r="AL22" s="7">
        <f t="shared" si="17"/>
        <v>53.07</v>
      </c>
      <c r="AM22" s="1">
        <f t="shared" si="0"/>
        <v>-3.48</v>
      </c>
      <c r="AN22" s="1">
        <f t="shared" si="1"/>
        <v>-2.96</v>
      </c>
      <c r="AO22" s="7">
        <f t="shared" si="2"/>
        <v>-3.07</v>
      </c>
      <c r="AP22" s="1" t="b">
        <f t="shared" si="18"/>
        <v>0</v>
      </c>
      <c r="AQ22" s="1" t="b">
        <f t="shared" si="18"/>
        <v>0</v>
      </c>
      <c r="AR22" s="7" t="b">
        <f t="shared" si="19"/>
        <v>0</v>
      </c>
      <c r="AS22" s="1">
        <f t="shared" si="20"/>
        <v>0.52</v>
      </c>
      <c r="AT22" s="1">
        <f t="shared" si="20"/>
        <v>0.41000000000000014</v>
      </c>
      <c r="AU22" s="7">
        <f t="shared" si="21"/>
        <v>0.10999999999999988</v>
      </c>
      <c r="AV22" s="1">
        <f>ROUND(IF(B22="NSW",N22*Meta!$B$6,N22),1)</f>
        <v>3634</v>
      </c>
      <c r="AW22" s="7">
        <f t="shared" si="3"/>
        <v>76370.399999999994</v>
      </c>
    </row>
    <row r="23" spans="1:49" x14ac:dyDescent="0.55000000000000004">
      <c r="A23" s="11" t="s">
        <v>34</v>
      </c>
      <c r="B23" s="7" t="s">
        <v>13</v>
      </c>
      <c r="C23" s="10">
        <v>16.52</v>
      </c>
      <c r="D23" s="10">
        <v>16.09</v>
      </c>
      <c r="E23" s="10">
        <v>12.89</v>
      </c>
      <c r="F23" s="10">
        <v>0</v>
      </c>
      <c r="G23" s="10">
        <v>0</v>
      </c>
      <c r="H23" s="10">
        <v>2.2999999999999998</v>
      </c>
      <c r="I23" s="10">
        <v>52.2</v>
      </c>
      <c r="J23" s="7">
        <f t="shared" si="4"/>
        <v>52.2</v>
      </c>
      <c r="K23" s="10">
        <v>51.1</v>
      </c>
      <c r="L23" s="7">
        <v>48.9</v>
      </c>
      <c r="M23" s="10">
        <v>84314</v>
      </c>
      <c r="N23" s="10">
        <v>2980</v>
      </c>
      <c r="O23" s="7">
        <f t="shared" si="5"/>
        <v>81334</v>
      </c>
      <c r="P23" s="10">
        <f>ROUND($C23+MIN($D23:$E23)*(1-SUMIFS(PrefFlows!$C:$C,PrefFlows!$A:$A,INDEX($D$1:$E$1,MATCH(MIN($D23:$E23),$D23:$E23,0)),PrefFlows!$B:$B,$B23)),2)</f>
        <v>17.62</v>
      </c>
      <c r="Q23" s="10">
        <f>ROUND(MAX($D23:$E23)+MIN($D23:$E23)*SUMIFS(PrefFlows!$C:$C,PrefFlows!$A:$A,INDEX($D$1:$E$1,MATCH(MIN($D23:$E23),$D23:$E23,0)),PrefFlows!$B:$B,$B23),2)</f>
        <v>27.88</v>
      </c>
      <c r="R23" s="10">
        <f t="shared" si="6"/>
        <v>0</v>
      </c>
      <c r="S23" s="10">
        <f t="shared" si="7"/>
        <v>2.2999999999999998</v>
      </c>
      <c r="T23" s="7">
        <f t="shared" si="8"/>
        <v>52.2</v>
      </c>
      <c r="U23" s="9">
        <f t="shared" si="9"/>
        <v>10.26</v>
      </c>
      <c r="V23" s="10">
        <f>ROUND($R23*SUMIFS(PrefFlows!$C:$C,PrefFlows!$A:$A,$R$1,PrefFlows!$B:$B,$B23)+$S23*SUMIFS(PrefFlows!$C:$C,PrefFlows!$A:$A,$S$1,PrefFlows!$B:$B,$B23)+$T23*SUMIFS(PrefFlows!$C:$C,PrefFlows!$A:$A,$T$1,PrefFlows!$B:$B,$B23),2)</f>
        <v>27.82</v>
      </c>
      <c r="W23" s="7">
        <f>ROUND($R23*(1-SUMIFS(PrefFlows!$C:$C,PrefFlows!$A:$A,$R$1,PrefFlows!$B:$B,$B23))+$S23*(1-SUMIFS(PrefFlows!$C:$C,PrefFlows!$A:$A,$S$1,PrefFlows!$B:$B,$B23))+$T23*(1-SUMIFS(PrefFlows!$C:$C,PrefFlows!$A:$A,$T$1,PrefFlows!$B:$B,$B23)),2)</f>
        <v>26.68</v>
      </c>
      <c r="X23" s="10">
        <f t="shared" si="10"/>
        <v>23.22</v>
      </c>
      <c r="Y23" s="7">
        <f t="shared" si="11"/>
        <v>31.28</v>
      </c>
      <c r="Z23" s="10">
        <f t="shared" si="12"/>
        <v>0.51049999999999995</v>
      </c>
      <c r="AA23" s="10">
        <f t="shared" si="13"/>
        <v>0.42609999999999998</v>
      </c>
      <c r="AB23" s="10">
        <f t="shared" si="14"/>
        <v>-8.4400000000000003E-2</v>
      </c>
      <c r="AC23" s="7">
        <v>2.7400140693670399E-2</v>
      </c>
      <c r="AD23" s="10">
        <f>ROUND(R23*(1-(Exhaust!$B$2+AC23)),2)</f>
        <v>0</v>
      </c>
      <c r="AE23" s="10">
        <f>ROUND(S23*(1-(Exhaust!$B$3+$AC23)),2)</f>
        <v>1.32</v>
      </c>
      <c r="AF23" s="7">
        <f>ROUND(T23*(1-(Exhaust!$B$4+$AC23)),2)</f>
        <v>24.67</v>
      </c>
      <c r="AG23" s="10">
        <f>ROUND($AD23*(SUMIFS(PrefFlows!$C:$C,PrefFlows!$A:$A,$R$1,PrefFlows!$B:$B,$B23)+$AB23)+$AE23*(SUMIFS(PrefFlows!$C:$C,PrefFlows!$A:$A,$S$1,PrefFlows!$B:$B,$B23)+$AB23)+$AF23*(SUMIFS(PrefFlows!$C:$C,PrefFlows!$A:$A,$T$1,PrefFlows!$B:$B,$B23)+$AB23),2)</f>
        <v>11</v>
      </c>
      <c r="AH23" s="7">
        <f>ROUND($AD23*(1-(SUMIFS(PrefFlows!$C:$C,PrefFlows!$A:$A,$R$1,PrefFlows!$B:$B,$B23)+$AB23))+$AE23*(1-(SUMIFS(PrefFlows!$C:$C,PrefFlows!$A:$A,$S$1,PrefFlows!$B:$B,$B23)+$AB23))+$AF23*(1-(SUMIFS(PrefFlows!$C:$C,PrefFlows!$A:$A,$T$1,PrefFlows!$B:$B,$B23)+$AB23)),2)</f>
        <v>14.99</v>
      </c>
      <c r="AI23" s="10">
        <f t="shared" si="15"/>
        <v>38.880000000000003</v>
      </c>
      <c r="AJ23" s="7">
        <f t="shared" si="16"/>
        <v>32.61</v>
      </c>
      <c r="AK23" s="10">
        <f t="shared" si="17"/>
        <v>54.39</v>
      </c>
      <c r="AL23" s="7">
        <f t="shared" si="17"/>
        <v>45.61</v>
      </c>
      <c r="AM23" s="1">
        <f t="shared" si="0"/>
        <v>1.1000000000000001</v>
      </c>
      <c r="AN23" s="1">
        <f t="shared" si="1"/>
        <v>4.1100000000000003</v>
      </c>
      <c r="AO23" s="7">
        <f t="shared" si="2"/>
        <v>4.3899999999999997</v>
      </c>
      <c r="AP23" s="1" t="b">
        <f t="shared" si="18"/>
        <v>0</v>
      </c>
      <c r="AQ23" s="1" t="b">
        <f t="shared" si="18"/>
        <v>0</v>
      </c>
      <c r="AR23" s="7" t="b">
        <f t="shared" si="19"/>
        <v>0</v>
      </c>
      <c r="AS23" s="1">
        <f t="shared" si="20"/>
        <v>3.0100000000000002</v>
      </c>
      <c r="AT23" s="1">
        <f t="shared" si="20"/>
        <v>3.2899999999999996</v>
      </c>
      <c r="AU23" s="7">
        <f t="shared" si="21"/>
        <v>0.27999999999999936</v>
      </c>
      <c r="AV23" s="1">
        <f>ROUND(IF(B23="NSW",N23*Meta!$B$6,N23),1)</f>
        <v>1996.6</v>
      </c>
      <c r="AW23" s="7">
        <f t="shared" si="3"/>
        <v>59399</v>
      </c>
    </row>
    <row r="24" spans="1:49" x14ac:dyDescent="0.55000000000000004">
      <c r="A24" s="11" t="s">
        <v>35</v>
      </c>
      <c r="B24" s="7" t="s">
        <v>10</v>
      </c>
      <c r="C24" s="10">
        <v>50.01</v>
      </c>
      <c r="D24" s="10">
        <v>37.17</v>
      </c>
      <c r="E24" s="10">
        <v>0</v>
      </c>
      <c r="F24" s="10">
        <v>1.49</v>
      </c>
      <c r="G24" s="10">
        <v>0</v>
      </c>
      <c r="H24" s="10">
        <v>5.26</v>
      </c>
      <c r="I24" s="10">
        <v>6.07</v>
      </c>
      <c r="J24" s="7">
        <f t="shared" si="4"/>
        <v>7.56</v>
      </c>
      <c r="K24" s="10">
        <v>41.81</v>
      </c>
      <c r="L24" s="7">
        <v>58.19</v>
      </c>
      <c r="M24" s="10">
        <v>83759</v>
      </c>
      <c r="N24" s="10">
        <v>4391</v>
      </c>
      <c r="O24" s="7">
        <f t="shared" si="5"/>
        <v>79368</v>
      </c>
      <c r="P24" s="10">
        <f>ROUND($C24+MIN($D24:$E24)*(1-SUMIFS(PrefFlows!$C:$C,PrefFlows!$A:$A,INDEX($D$1:$E$1,MATCH(MIN($D24:$E24),$D24:$E24,0)),PrefFlows!$B:$B,$B24)),2)</f>
        <v>50.01</v>
      </c>
      <c r="Q24" s="10">
        <f>ROUND(MAX($D24:$E24)+MIN($D24:$E24)*SUMIFS(PrefFlows!$C:$C,PrefFlows!$A:$A,INDEX($D$1:$E$1,MATCH(MIN($D24:$E24),$D24:$E24,0)),PrefFlows!$B:$B,$B24),2)</f>
        <v>37.17</v>
      </c>
      <c r="R24" s="10">
        <f t="shared" si="6"/>
        <v>0</v>
      </c>
      <c r="S24" s="10">
        <f t="shared" si="7"/>
        <v>5.26</v>
      </c>
      <c r="T24" s="7">
        <f t="shared" si="8"/>
        <v>7.56</v>
      </c>
      <c r="U24" s="9">
        <f t="shared" si="9"/>
        <v>-12.84</v>
      </c>
      <c r="V24" s="10">
        <f>ROUND($R24*SUMIFS(PrefFlows!$C:$C,PrefFlows!$A:$A,$R$1,PrefFlows!$B:$B,$B24)+$S24*SUMIFS(PrefFlows!$C:$C,PrefFlows!$A:$A,$S$1,PrefFlows!$B:$B,$B24)+$T24*SUMIFS(PrefFlows!$C:$C,PrefFlows!$A:$A,$T$1,PrefFlows!$B:$B,$B24),2)</f>
        <v>4.8600000000000003</v>
      </c>
      <c r="W24" s="7">
        <f>ROUND($R24*(1-SUMIFS(PrefFlows!$C:$C,PrefFlows!$A:$A,$R$1,PrefFlows!$B:$B,$B24))+$S24*(1-SUMIFS(PrefFlows!$C:$C,PrefFlows!$A:$A,$S$1,PrefFlows!$B:$B,$B24))+$T24*(1-SUMIFS(PrefFlows!$C:$C,PrefFlows!$A:$A,$T$1,PrefFlows!$B:$B,$B24)),2)</f>
        <v>7.96</v>
      </c>
      <c r="X24" s="10">
        <f t="shared" si="10"/>
        <v>4.6399999999999997</v>
      </c>
      <c r="Y24" s="7">
        <f t="shared" si="11"/>
        <v>8.18</v>
      </c>
      <c r="Z24" s="10">
        <f t="shared" si="12"/>
        <v>0.37909999999999999</v>
      </c>
      <c r="AA24" s="10">
        <f t="shared" si="13"/>
        <v>0.3619</v>
      </c>
      <c r="AB24" s="10">
        <f t="shared" si="14"/>
        <v>-1.72E-2</v>
      </c>
      <c r="AC24" s="7">
        <v>3.06556531230875E-2</v>
      </c>
      <c r="AD24" s="10">
        <f>ROUND(R24*(1-(Exhaust!$B$2+AC24)),2)</f>
        <v>0</v>
      </c>
      <c r="AE24" s="10">
        <f>ROUND(S24*(1-(Exhaust!$B$3+$AC24)),2)</f>
        <v>2.99</v>
      </c>
      <c r="AF24" s="7">
        <f>ROUND(T24*(1-(Exhaust!$B$4+$AC24)),2)</f>
        <v>3.55</v>
      </c>
      <c r="AG24" s="10">
        <f>ROUND($AD24*(SUMIFS(PrefFlows!$C:$C,PrefFlows!$A:$A,$R$1,PrefFlows!$B:$B,$B24)+$AB24)+$AE24*(SUMIFS(PrefFlows!$C:$C,PrefFlows!$A:$A,$S$1,PrefFlows!$B:$B,$B24)+$AB24)+$AF24*(SUMIFS(PrefFlows!$C:$C,PrefFlows!$A:$A,$T$1,PrefFlows!$B:$B,$B24)+$AB24),2)</f>
        <v>2.2599999999999998</v>
      </c>
      <c r="AH24" s="7">
        <f>ROUND($AD24*(1-(SUMIFS(PrefFlows!$C:$C,PrefFlows!$A:$A,$R$1,PrefFlows!$B:$B,$B24)+$AB24))+$AE24*(1-(SUMIFS(PrefFlows!$C:$C,PrefFlows!$A:$A,$S$1,PrefFlows!$B:$B,$B24)+$AB24))+$AF24*(1-(SUMIFS(PrefFlows!$C:$C,PrefFlows!$A:$A,$T$1,PrefFlows!$B:$B,$B24)+$AB24)),2)</f>
        <v>4.28</v>
      </c>
      <c r="AI24" s="10">
        <f t="shared" si="15"/>
        <v>39.43</v>
      </c>
      <c r="AJ24" s="7">
        <f t="shared" si="16"/>
        <v>54.29</v>
      </c>
      <c r="AK24" s="10">
        <f t="shared" si="17"/>
        <v>42.07</v>
      </c>
      <c r="AL24" s="7">
        <f t="shared" si="17"/>
        <v>57.93</v>
      </c>
      <c r="AM24" s="1">
        <f t="shared" si="0"/>
        <v>-8.19</v>
      </c>
      <c r="AN24" s="1">
        <f t="shared" si="1"/>
        <v>-7.82</v>
      </c>
      <c r="AO24" s="7">
        <f t="shared" si="2"/>
        <v>-7.93</v>
      </c>
      <c r="AP24" s="1" t="b">
        <f t="shared" si="18"/>
        <v>0</v>
      </c>
      <c r="AQ24" s="1" t="b">
        <f t="shared" si="18"/>
        <v>0</v>
      </c>
      <c r="AR24" s="7" t="b">
        <f t="shared" si="19"/>
        <v>0</v>
      </c>
      <c r="AS24" s="1">
        <f t="shared" si="20"/>
        <v>0.36999999999999922</v>
      </c>
      <c r="AT24" s="1">
        <f t="shared" si="20"/>
        <v>0.25999999999999979</v>
      </c>
      <c r="AU24" s="7">
        <f t="shared" si="21"/>
        <v>0.10999999999999943</v>
      </c>
      <c r="AV24" s="1">
        <f>ROUND(IF(B24="NSW",N24*Meta!$B$6,N24),1)</f>
        <v>4391</v>
      </c>
      <c r="AW24" s="7">
        <f t="shared" si="3"/>
        <v>75970.2</v>
      </c>
    </row>
    <row r="25" spans="1:49" x14ac:dyDescent="0.55000000000000004">
      <c r="A25" s="11" t="s">
        <v>36</v>
      </c>
      <c r="B25" s="7" t="s">
        <v>37</v>
      </c>
      <c r="C25" s="10">
        <v>49.88</v>
      </c>
      <c r="D25" s="10">
        <v>36.99</v>
      </c>
      <c r="E25" s="10">
        <v>0</v>
      </c>
      <c r="F25" s="10">
        <v>2.2000000000000002</v>
      </c>
      <c r="G25" s="10">
        <v>0</v>
      </c>
      <c r="H25" s="10">
        <v>10.17</v>
      </c>
      <c r="I25" s="10">
        <v>0.76</v>
      </c>
      <c r="J25" s="7">
        <f t="shared" si="4"/>
        <v>2.96</v>
      </c>
      <c r="K25" s="10">
        <v>40.380000000000003</v>
      </c>
      <c r="L25" s="7">
        <v>59.62</v>
      </c>
      <c r="M25" s="10">
        <v>104222</v>
      </c>
      <c r="N25" s="10">
        <v>3544</v>
      </c>
      <c r="O25" s="7">
        <f t="shared" si="5"/>
        <v>100678</v>
      </c>
      <c r="P25" s="10">
        <f>ROUND($C25+MIN($D25:$E25)*(1-SUMIFS(PrefFlows!$C:$C,PrefFlows!$A:$A,INDEX($D$1:$E$1,MATCH(MIN($D25:$E25),$D25:$E25,0)),PrefFlows!$B:$B,$B25)),2)</f>
        <v>49.88</v>
      </c>
      <c r="Q25" s="10">
        <f>ROUND(MAX($D25:$E25)+MIN($D25:$E25)*SUMIFS(PrefFlows!$C:$C,PrefFlows!$A:$A,INDEX($D$1:$E$1,MATCH(MIN($D25:$E25),$D25:$E25,0)),PrefFlows!$B:$B,$B25),2)</f>
        <v>36.99</v>
      </c>
      <c r="R25" s="10">
        <f t="shared" si="6"/>
        <v>0</v>
      </c>
      <c r="S25" s="10">
        <f t="shared" si="7"/>
        <v>10.17</v>
      </c>
      <c r="T25" s="7">
        <f t="shared" si="8"/>
        <v>2.96</v>
      </c>
      <c r="U25" s="9">
        <f t="shared" si="9"/>
        <v>-12.89</v>
      </c>
      <c r="V25" s="10">
        <f>ROUND($R25*SUMIFS(PrefFlows!$C:$C,PrefFlows!$A:$A,$R$1,PrefFlows!$B:$B,$B25)+$S25*SUMIFS(PrefFlows!$C:$C,PrefFlows!$A:$A,$S$1,PrefFlows!$B:$B,$B25)+$T25*SUMIFS(PrefFlows!$C:$C,PrefFlows!$A:$A,$T$1,PrefFlows!$B:$B,$B25),2)</f>
        <v>3.45</v>
      </c>
      <c r="W25" s="7">
        <f>ROUND($R25*(1-SUMIFS(PrefFlows!$C:$C,PrefFlows!$A:$A,$R$1,PrefFlows!$B:$B,$B25))+$S25*(1-SUMIFS(PrefFlows!$C:$C,PrefFlows!$A:$A,$S$1,PrefFlows!$B:$B,$B25))+$T25*(1-SUMIFS(PrefFlows!$C:$C,PrefFlows!$A:$A,$T$1,PrefFlows!$B:$B,$B25)),2)</f>
        <v>9.68</v>
      </c>
      <c r="X25" s="10">
        <f t="shared" si="10"/>
        <v>3.39</v>
      </c>
      <c r="Y25" s="7">
        <f t="shared" si="11"/>
        <v>9.74</v>
      </c>
      <c r="Z25" s="10">
        <f t="shared" si="12"/>
        <v>0.26279999999999998</v>
      </c>
      <c r="AA25" s="10">
        <f t="shared" si="13"/>
        <v>0.25819999999999999</v>
      </c>
      <c r="AB25" s="10">
        <f t="shared" si="14"/>
        <v>-4.5999999999999999E-3</v>
      </c>
      <c r="AC25" s="7">
        <v>-0.16521890981762399</v>
      </c>
      <c r="AD25" s="10">
        <f>ROUND(R25*(1-(Exhaust!$B$2+AC25)),2)</f>
        <v>0</v>
      </c>
      <c r="AE25" s="10">
        <f>ROUND(S25*(1-(Exhaust!$B$3+$AC25)),2)</f>
        <v>7.78</v>
      </c>
      <c r="AF25" s="7">
        <f>ROUND(T25*(1-(Exhaust!$B$4+$AC25)),2)</f>
        <v>1.97</v>
      </c>
      <c r="AG25" s="10">
        <f>ROUND($AD25*(SUMIFS(PrefFlows!$C:$C,PrefFlows!$A:$A,$R$1,PrefFlows!$B:$B,$B25)+$AB25)+$AE25*(SUMIFS(PrefFlows!$C:$C,PrefFlows!$A:$A,$S$1,PrefFlows!$B:$B,$B25)+$AB25)+$AF25*(SUMIFS(PrefFlows!$C:$C,PrefFlows!$A:$A,$T$1,PrefFlows!$B:$B,$B25)+$AB25),2)</f>
        <v>2.4300000000000002</v>
      </c>
      <c r="AH25" s="7">
        <f>ROUND($AD25*(1-(SUMIFS(PrefFlows!$C:$C,PrefFlows!$A:$A,$R$1,PrefFlows!$B:$B,$B25)+$AB25))+$AE25*(1-(SUMIFS(PrefFlows!$C:$C,PrefFlows!$A:$A,$S$1,PrefFlows!$B:$B,$B25)+$AB25))+$AF25*(1-(SUMIFS(PrefFlows!$C:$C,PrefFlows!$A:$A,$T$1,PrefFlows!$B:$B,$B25)+$AB25)),2)</f>
        <v>7.32</v>
      </c>
      <c r="AI25" s="10">
        <f t="shared" si="15"/>
        <v>39.42</v>
      </c>
      <c r="AJ25" s="7">
        <f t="shared" si="16"/>
        <v>57.2</v>
      </c>
      <c r="AK25" s="10">
        <f t="shared" si="17"/>
        <v>40.799999999999997</v>
      </c>
      <c r="AL25" s="7">
        <f t="shared" si="17"/>
        <v>59.2</v>
      </c>
      <c r="AM25" s="1">
        <f t="shared" si="0"/>
        <v>-9.6199999999999992</v>
      </c>
      <c r="AN25" s="1">
        <f t="shared" si="1"/>
        <v>-8.64</v>
      </c>
      <c r="AO25" s="7">
        <f t="shared" si="2"/>
        <v>-9.1999999999999993</v>
      </c>
      <c r="AP25" s="1" t="b">
        <f t="shared" si="18"/>
        <v>0</v>
      </c>
      <c r="AQ25" s="1" t="b">
        <f t="shared" si="18"/>
        <v>0</v>
      </c>
      <c r="AR25" s="7" t="b">
        <f t="shared" si="19"/>
        <v>0</v>
      </c>
      <c r="AS25" s="1">
        <f t="shared" si="20"/>
        <v>0.97999999999999865</v>
      </c>
      <c r="AT25" s="1">
        <f t="shared" si="20"/>
        <v>0.41999999999999993</v>
      </c>
      <c r="AU25" s="7">
        <f t="shared" si="21"/>
        <v>0.55999999999999872</v>
      </c>
      <c r="AV25" s="1">
        <f>ROUND(IF(B25="NSW",N25*Meta!$B$6,N25),1)</f>
        <v>3544</v>
      </c>
      <c r="AW25" s="7">
        <f t="shared" si="3"/>
        <v>98595.199999999997</v>
      </c>
    </row>
    <row r="26" spans="1:49" x14ac:dyDescent="0.55000000000000004">
      <c r="A26" s="11" t="s">
        <v>38</v>
      </c>
      <c r="B26" s="7" t="s">
        <v>31</v>
      </c>
      <c r="C26" s="10">
        <v>32.880000000000003</v>
      </c>
      <c r="D26" s="10">
        <v>52.74</v>
      </c>
      <c r="E26" s="10">
        <v>0</v>
      </c>
      <c r="F26" s="10">
        <v>1.1599999999999999</v>
      </c>
      <c r="G26" s="10">
        <v>2.73</v>
      </c>
      <c r="H26" s="10">
        <v>5.05</v>
      </c>
      <c r="I26" s="10">
        <v>8.17</v>
      </c>
      <c r="J26" s="7">
        <f t="shared" si="4"/>
        <v>6.6</v>
      </c>
      <c r="K26" s="10">
        <v>59.54</v>
      </c>
      <c r="L26" s="7">
        <v>40.46</v>
      </c>
      <c r="M26" s="10">
        <v>79138</v>
      </c>
      <c r="N26" s="10">
        <v>4515</v>
      </c>
      <c r="O26" s="7">
        <f t="shared" si="5"/>
        <v>74623</v>
      </c>
      <c r="P26" s="10">
        <f>ROUND($C26+MIN($D26:$E26)*(1-SUMIFS(PrefFlows!$C:$C,PrefFlows!$A:$A,INDEX($D$1:$E$1,MATCH(MIN($D26:$E26),$D26:$E26,0)),PrefFlows!$B:$B,$B26)),2)</f>
        <v>32.880000000000003</v>
      </c>
      <c r="Q26" s="10">
        <f>ROUND(MAX($D26:$E26)+MIN($D26:$E26)*SUMIFS(PrefFlows!$C:$C,PrefFlows!$A:$A,INDEX($D$1:$E$1,MATCH(MIN($D26:$E26),$D26:$E26,0)),PrefFlows!$B:$B,$B26),2)</f>
        <v>52.74</v>
      </c>
      <c r="R26" s="10">
        <f t="shared" si="6"/>
        <v>2.73</v>
      </c>
      <c r="S26" s="10">
        <f t="shared" si="7"/>
        <v>5.05</v>
      </c>
      <c r="T26" s="7">
        <f t="shared" si="8"/>
        <v>6.6</v>
      </c>
      <c r="U26" s="9">
        <f t="shared" si="9"/>
        <v>19.86</v>
      </c>
      <c r="V26" s="10">
        <f>ROUND($R26*SUMIFS(PrefFlows!$C:$C,PrefFlows!$A:$A,$R$1,PrefFlows!$B:$B,$B26)+$S26*SUMIFS(PrefFlows!$C:$C,PrefFlows!$A:$A,$S$1,PrefFlows!$B:$B,$B26)+$T26*SUMIFS(PrefFlows!$C:$C,PrefFlows!$A:$A,$T$1,PrefFlows!$B:$B,$B26),2)</f>
        <v>6.12</v>
      </c>
      <c r="W26" s="7">
        <f>ROUND($R26*(1-SUMIFS(PrefFlows!$C:$C,PrefFlows!$A:$A,$R$1,PrefFlows!$B:$B,$B26))+$S26*(1-SUMIFS(PrefFlows!$C:$C,PrefFlows!$A:$A,$S$1,PrefFlows!$B:$B,$B26))+$T26*(1-SUMIFS(PrefFlows!$C:$C,PrefFlows!$A:$A,$T$1,PrefFlows!$B:$B,$B26)),2)</f>
        <v>8.26</v>
      </c>
      <c r="X26" s="10">
        <f t="shared" si="10"/>
        <v>6.8</v>
      </c>
      <c r="Y26" s="7">
        <f t="shared" si="11"/>
        <v>7.58</v>
      </c>
      <c r="Z26" s="10">
        <f t="shared" si="12"/>
        <v>0.42559999999999998</v>
      </c>
      <c r="AA26" s="10">
        <f t="shared" si="13"/>
        <v>0.47289999999999999</v>
      </c>
      <c r="AB26" s="10">
        <f t="shared" si="14"/>
        <v>4.7300000000000002E-2</v>
      </c>
      <c r="AC26" s="7">
        <v>9.2162868176696403E-2</v>
      </c>
      <c r="AD26" s="10">
        <f>ROUND(R26*(1-(Exhaust!$B$2+AC26)),2)</f>
        <v>0.95</v>
      </c>
      <c r="AE26" s="10">
        <f>ROUND(S26*(1-(Exhaust!$B$3+$AC26)),2)</f>
        <v>2.56</v>
      </c>
      <c r="AF26" s="7">
        <f>ROUND(T26*(1-(Exhaust!$B$4+$AC26)),2)</f>
        <v>2.69</v>
      </c>
      <c r="AG26" s="10">
        <f>ROUND($AD26*(SUMIFS(PrefFlows!$C:$C,PrefFlows!$A:$A,$R$1,PrefFlows!$B:$B,$B26)+$AB26)+$AE26*(SUMIFS(PrefFlows!$C:$C,PrefFlows!$A:$A,$S$1,PrefFlows!$B:$B,$B26)+$AB26)+$AF26*(SUMIFS(PrefFlows!$C:$C,PrefFlows!$A:$A,$T$1,PrefFlows!$B:$B,$B26)+$AB26),2)</f>
        <v>2.81</v>
      </c>
      <c r="AH26" s="7">
        <f>ROUND($AD26*(1-(SUMIFS(PrefFlows!$C:$C,PrefFlows!$A:$A,$R$1,PrefFlows!$B:$B,$B26)+$AB26))+$AE26*(1-(SUMIFS(PrefFlows!$C:$C,PrefFlows!$A:$A,$S$1,PrefFlows!$B:$B,$B26)+$AB26))+$AF26*(1-(SUMIFS(PrefFlows!$C:$C,PrefFlows!$A:$A,$T$1,PrefFlows!$B:$B,$B26)+$AB26)),2)</f>
        <v>3.39</v>
      </c>
      <c r="AI26" s="10">
        <f t="shared" si="15"/>
        <v>55.55</v>
      </c>
      <c r="AJ26" s="7">
        <f t="shared" si="16"/>
        <v>36.270000000000003</v>
      </c>
      <c r="AK26" s="10">
        <f t="shared" si="17"/>
        <v>60.5</v>
      </c>
      <c r="AL26" s="7">
        <f t="shared" si="17"/>
        <v>39.5</v>
      </c>
      <c r="AM26" s="1">
        <f t="shared" si="0"/>
        <v>9.5399999999999991</v>
      </c>
      <c r="AN26" s="1">
        <f t="shared" si="1"/>
        <v>10.45</v>
      </c>
      <c r="AO26" s="7">
        <f t="shared" si="2"/>
        <v>10.5</v>
      </c>
      <c r="AP26" s="1" t="b">
        <f t="shared" si="18"/>
        <v>0</v>
      </c>
      <c r="AQ26" s="1" t="b">
        <f t="shared" si="18"/>
        <v>0</v>
      </c>
      <c r="AR26" s="7" t="b">
        <f t="shared" si="19"/>
        <v>0</v>
      </c>
      <c r="AS26" s="1">
        <f t="shared" si="20"/>
        <v>0.91000000000000014</v>
      </c>
      <c r="AT26" s="1">
        <f t="shared" si="20"/>
        <v>0.96000000000000085</v>
      </c>
      <c r="AU26" s="7">
        <f t="shared" si="21"/>
        <v>5.0000000000000711E-2</v>
      </c>
      <c r="AV26" s="1">
        <f>ROUND(IF(B26="NSW",N26*Meta!$B$6,N26),1)</f>
        <v>4515</v>
      </c>
      <c r="AW26" s="7">
        <f t="shared" si="3"/>
        <v>70117.100000000006</v>
      </c>
    </row>
    <row r="27" spans="1:49" x14ac:dyDescent="0.55000000000000004">
      <c r="A27" s="11" t="s">
        <v>39</v>
      </c>
      <c r="B27" s="7" t="s">
        <v>23</v>
      </c>
      <c r="C27" s="10">
        <v>47.21</v>
      </c>
      <c r="D27" s="10">
        <v>13.25</v>
      </c>
      <c r="E27" s="10">
        <v>27.51</v>
      </c>
      <c r="F27" s="10">
        <v>1.44</v>
      </c>
      <c r="G27" s="10">
        <v>3.12</v>
      </c>
      <c r="H27" s="10">
        <v>2.0499999999999998</v>
      </c>
      <c r="I27" s="10">
        <v>8.5399999999999991</v>
      </c>
      <c r="J27" s="7">
        <f t="shared" si="4"/>
        <v>6.86</v>
      </c>
      <c r="K27" s="10">
        <v>44.86</v>
      </c>
      <c r="L27" s="7">
        <v>55.14</v>
      </c>
      <c r="M27" s="10">
        <v>86239</v>
      </c>
      <c r="N27" s="10">
        <v>3664</v>
      </c>
      <c r="O27" s="7">
        <f t="shared" si="5"/>
        <v>82575</v>
      </c>
      <c r="P27" s="10">
        <f>ROUND($C27+MIN($D27:$E27)*(1-SUMIFS(PrefFlows!$C:$C,PrefFlows!$A:$A,INDEX($D$1:$E$1,MATCH(MIN($D27:$E27),$D27:$E27,0)),PrefFlows!$B:$B,$B27)),2)</f>
        <v>49.6</v>
      </c>
      <c r="Q27" s="10">
        <f>ROUND(MAX($D27:$E27)+MIN($D27:$E27)*SUMIFS(PrefFlows!$C:$C,PrefFlows!$A:$A,INDEX($D$1:$E$1,MATCH(MIN($D27:$E27),$D27:$E27,0)),PrefFlows!$B:$B,$B27),2)</f>
        <v>38.369999999999997</v>
      </c>
      <c r="R27" s="10">
        <f t="shared" si="6"/>
        <v>3.12</v>
      </c>
      <c r="S27" s="10">
        <f t="shared" si="7"/>
        <v>2.0499999999999998</v>
      </c>
      <c r="T27" s="7">
        <f t="shared" si="8"/>
        <v>6.86</v>
      </c>
      <c r="U27" s="9">
        <f t="shared" si="9"/>
        <v>-11.23</v>
      </c>
      <c r="V27" s="10">
        <f>ROUND($R27*SUMIFS(PrefFlows!$C:$C,PrefFlows!$A:$A,$R$1,PrefFlows!$B:$B,$B27)+$S27*SUMIFS(PrefFlows!$C:$C,PrefFlows!$A:$A,$S$1,PrefFlows!$B:$B,$B27)+$T27*SUMIFS(PrefFlows!$C:$C,PrefFlows!$A:$A,$T$1,PrefFlows!$B:$B,$B27),2)</f>
        <v>5.86</v>
      </c>
      <c r="W27" s="7">
        <f>ROUND($R27*(1-SUMIFS(PrefFlows!$C:$C,PrefFlows!$A:$A,$R$1,PrefFlows!$B:$B,$B27))+$S27*(1-SUMIFS(PrefFlows!$C:$C,PrefFlows!$A:$A,$S$1,PrefFlows!$B:$B,$B27))+$T27*(1-SUMIFS(PrefFlows!$C:$C,PrefFlows!$A:$A,$T$1,PrefFlows!$B:$B,$B27)),2)</f>
        <v>6.17</v>
      </c>
      <c r="X27" s="10">
        <f t="shared" si="10"/>
        <v>6.49</v>
      </c>
      <c r="Y27" s="7">
        <f t="shared" si="11"/>
        <v>5.54</v>
      </c>
      <c r="Z27" s="10">
        <f t="shared" si="12"/>
        <v>0.48709999999999998</v>
      </c>
      <c r="AA27" s="10">
        <f t="shared" si="13"/>
        <v>0.53949999999999998</v>
      </c>
      <c r="AB27" s="10">
        <f t="shared" si="14"/>
        <v>5.2400000000000002E-2</v>
      </c>
      <c r="AC27" s="7">
        <v>3.6596415124429599E-2</v>
      </c>
      <c r="AD27" s="10">
        <f>ROUND(R27*(1-(Exhaust!$B$2+AC27)),2)</f>
        <v>1.26</v>
      </c>
      <c r="AE27" s="10">
        <f>ROUND(S27*(1-(Exhaust!$B$3+$AC27)),2)</f>
        <v>1.1499999999999999</v>
      </c>
      <c r="AF27" s="7">
        <f>ROUND(T27*(1-(Exhaust!$B$4+$AC27)),2)</f>
        <v>3.18</v>
      </c>
      <c r="AG27" s="10">
        <f>ROUND($AD27*(SUMIFS(PrefFlows!$C:$C,PrefFlows!$A:$A,$R$1,PrefFlows!$B:$B,$B27)+$AB27)+$AE27*(SUMIFS(PrefFlows!$C:$C,PrefFlows!$A:$A,$S$1,PrefFlows!$B:$B,$B27)+$AB27)+$AF27*(SUMIFS(PrefFlows!$C:$C,PrefFlows!$A:$A,$T$1,PrefFlows!$B:$B,$B27)+$AB27),2)</f>
        <v>2.95</v>
      </c>
      <c r="AH27" s="7">
        <f>ROUND($AD27*(1-(SUMIFS(PrefFlows!$C:$C,PrefFlows!$A:$A,$R$1,PrefFlows!$B:$B,$B27)+$AB27))+$AE27*(1-(SUMIFS(PrefFlows!$C:$C,PrefFlows!$A:$A,$S$1,PrefFlows!$B:$B,$B27)+$AB27))+$AF27*(1-(SUMIFS(PrefFlows!$C:$C,PrefFlows!$A:$A,$T$1,PrefFlows!$B:$B,$B27)+$AB27)),2)</f>
        <v>2.64</v>
      </c>
      <c r="AI27" s="10">
        <f t="shared" si="15"/>
        <v>41.32</v>
      </c>
      <c r="AJ27" s="7">
        <f t="shared" si="16"/>
        <v>52.24</v>
      </c>
      <c r="AK27" s="10">
        <f t="shared" si="17"/>
        <v>44.16</v>
      </c>
      <c r="AL27" s="7">
        <f t="shared" si="17"/>
        <v>55.84</v>
      </c>
      <c r="AM27" s="1">
        <f t="shared" si="0"/>
        <v>-5.14</v>
      </c>
      <c r="AN27" s="1">
        <f t="shared" si="1"/>
        <v>-5.7</v>
      </c>
      <c r="AO27" s="7">
        <f t="shared" si="2"/>
        <v>-5.84</v>
      </c>
      <c r="AP27" s="1" t="b">
        <f t="shared" si="18"/>
        <v>0</v>
      </c>
      <c r="AQ27" s="1" t="b">
        <f t="shared" si="18"/>
        <v>0</v>
      </c>
      <c r="AR27" s="7" t="b">
        <f t="shared" si="19"/>
        <v>0</v>
      </c>
      <c r="AS27" s="1">
        <f t="shared" si="20"/>
        <v>-0.5600000000000005</v>
      </c>
      <c r="AT27" s="1">
        <f t="shared" si="20"/>
        <v>-0.70000000000000018</v>
      </c>
      <c r="AU27" s="7">
        <f t="shared" si="21"/>
        <v>0.13999999999999968</v>
      </c>
      <c r="AV27" s="1">
        <f>ROUND(IF(B27="NSW",N27*Meta!$B$6,N27),1)</f>
        <v>3664</v>
      </c>
      <c r="AW27" s="7">
        <f t="shared" si="3"/>
        <v>78578.7</v>
      </c>
    </row>
    <row r="28" spans="1:49" x14ac:dyDescent="0.55000000000000004">
      <c r="A28" s="11" t="s">
        <v>40</v>
      </c>
      <c r="B28" s="7" t="s">
        <v>10</v>
      </c>
      <c r="C28" s="10">
        <v>29.68</v>
      </c>
      <c r="D28" s="10">
        <v>56.27</v>
      </c>
      <c r="E28" s="10">
        <v>0</v>
      </c>
      <c r="F28" s="10">
        <v>1.25</v>
      </c>
      <c r="G28" s="10">
        <v>0</v>
      </c>
      <c r="H28" s="10">
        <v>7.87</v>
      </c>
      <c r="I28" s="10">
        <v>4.93</v>
      </c>
      <c r="J28" s="7">
        <f t="shared" si="4"/>
        <v>6.18</v>
      </c>
      <c r="K28" s="10">
        <v>61.35</v>
      </c>
      <c r="L28" s="7">
        <v>38.65</v>
      </c>
      <c r="M28" s="10">
        <v>83265</v>
      </c>
      <c r="N28" s="10">
        <v>3208</v>
      </c>
      <c r="O28" s="7">
        <f t="shared" si="5"/>
        <v>80057</v>
      </c>
      <c r="P28" s="10">
        <f>ROUND($C28+MIN($D28:$E28)*(1-SUMIFS(PrefFlows!$C:$C,PrefFlows!$A:$A,INDEX($D$1:$E$1,MATCH(MIN($D28:$E28),$D28:$E28,0)),PrefFlows!$B:$B,$B28)),2)</f>
        <v>29.68</v>
      </c>
      <c r="Q28" s="10">
        <f>ROUND(MAX($D28:$E28)+MIN($D28:$E28)*SUMIFS(PrefFlows!$C:$C,PrefFlows!$A:$A,INDEX($D$1:$E$1,MATCH(MIN($D28:$E28),$D28:$E28,0)),PrefFlows!$B:$B,$B28),2)</f>
        <v>56.27</v>
      </c>
      <c r="R28" s="10">
        <f t="shared" si="6"/>
        <v>0</v>
      </c>
      <c r="S28" s="10">
        <f t="shared" si="7"/>
        <v>7.87</v>
      </c>
      <c r="T28" s="7">
        <f t="shared" si="8"/>
        <v>6.18</v>
      </c>
      <c r="U28" s="9">
        <f t="shared" si="9"/>
        <v>26.59</v>
      </c>
      <c r="V28" s="10">
        <f>ROUND($R28*SUMIFS(PrefFlows!$C:$C,PrefFlows!$A:$A,$R$1,PrefFlows!$B:$B,$B28)+$S28*SUMIFS(PrefFlows!$C:$C,PrefFlows!$A:$A,$S$1,PrefFlows!$B:$B,$B28)+$T28*SUMIFS(PrefFlows!$C:$C,PrefFlows!$A:$A,$T$1,PrefFlows!$B:$B,$B28),2)</f>
        <v>4.57</v>
      </c>
      <c r="W28" s="7">
        <f>ROUND($R28*(1-SUMIFS(PrefFlows!$C:$C,PrefFlows!$A:$A,$R$1,PrefFlows!$B:$B,$B28))+$S28*(1-SUMIFS(PrefFlows!$C:$C,PrefFlows!$A:$A,$S$1,PrefFlows!$B:$B,$B28))+$T28*(1-SUMIFS(PrefFlows!$C:$C,PrefFlows!$A:$A,$T$1,PrefFlows!$B:$B,$B28)),2)</f>
        <v>9.48</v>
      </c>
      <c r="X28" s="10">
        <f t="shared" si="10"/>
        <v>5.08</v>
      </c>
      <c r="Y28" s="7">
        <f t="shared" si="11"/>
        <v>8.9700000000000006</v>
      </c>
      <c r="Z28" s="10">
        <f t="shared" si="12"/>
        <v>0.32529999999999998</v>
      </c>
      <c r="AA28" s="10">
        <f t="shared" si="13"/>
        <v>0.36159999999999998</v>
      </c>
      <c r="AB28" s="10">
        <f t="shared" si="14"/>
        <v>3.6299999999999999E-2</v>
      </c>
      <c r="AC28" s="7">
        <v>1.07188407491227E-2</v>
      </c>
      <c r="AD28" s="10">
        <f>ROUND(R28*(1-(Exhaust!$B$2+AC28)),2)</f>
        <v>0</v>
      </c>
      <c r="AE28" s="10">
        <f>ROUND(S28*(1-(Exhaust!$B$3+$AC28)),2)</f>
        <v>4.6399999999999997</v>
      </c>
      <c r="AF28" s="7">
        <f>ROUND(T28*(1-(Exhaust!$B$4+$AC28)),2)</f>
        <v>3.02</v>
      </c>
      <c r="AG28" s="10">
        <f>ROUND($AD28*(SUMIFS(PrefFlows!$C:$C,PrefFlows!$A:$A,$R$1,PrefFlows!$B:$B,$B28)+$AB28)+$AE28*(SUMIFS(PrefFlows!$C:$C,PrefFlows!$A:$A,$S$1,PrefFlows!$B:$B,$B28)+$AB28)+$AF28*(SUMIFS(PrefFlows!$C:$C,PrefFlows!$A:$A,$T$1,PrefFlows!$B:$B,$B28)+$AB28),2)</f>
        <v>2.65</v>
      </c>
      <c r="AH28" s="7">
        <f>ROUND($AD28*(1-(SUMIFS(PrefFlows!$C:$C,PrefFlows!$A:$A,$R$1,PrefFlows!$B:$B,$B28)+$AB28))+$AE28*(1-(SUMIFS(PrefFlows!$C:$C,PrefFlows!$A:$A,$S$1,PrefFlows!$B:$B,$B28)+$AB28))+$AF28*(1-(SUMIFS(PrefFlows!$C:$C,PrefFlows!$A:$A,$T$1,PrefFlows!$B:$B,$B28)+$AB28)),2)</f>
        <v>5.01</v>
      </c>
      <c r="AI28" s="10">
        <f t="shared" si="15"/>
        <v>58.92</v>
      </c>
      <c r="AJ28" s="7">
        <f t="shared" si="16"/>
        <v>34.69</v>
      </c>
      <c r="AK28" s="10">
        <f t="shared" si="17"/>
        <v>62.94</v>
      </c>
      <c r="AL28" s="7">
        <f t="shared" si="17"/>
        <v>37.06</v>
      </c>
      <c r="AM28" s="1">
        <f t="shared" si="0"/>
        <v>11.35</v>
      </c>
      <c r="AN28" s="1">
        <f t="shared" si="1"/>
        <v>13.17</v>
      </c>
      <c r="AO28" s="7">
        <f t="shared" si="2"/>
        <v>12.94</v>
      </c>
      <c r="AP28" s="1" t="b">
        <f t="shared" si="18"/>
        <v>0</v>
      </c>
      <c r="AQ28" s="1" t="b">
        <f t="shared" si="18"/>
        <v>0</v>
      </c>
      <c r="AR28" s="7" t="b">
        <f t="shared" si="19"/>
        <v>0</v>
      </c>
      <c r="AS28" s="1">
        <f t="shared" si="20"/>
        <v>1.8200000000000003</v>
      </c>
      <c r="AT28" s="1">
        <f t="shared" si="20"/>
        <v>1.5899999999999999</v>
      </c>
      <c r="AU28" s="7">
        <f t="shared" si="21"/>
        <v>0.23000000000000043</v>
      </c>
      <c r="AV28" s="1">
        <f>ROUND(IF(B28="NSW",N28*Meta!$B$6,N28),1)</f>
        <v>3208</v>
      </c>
      <c r="AW28" s="7">
        <f t="shared" si="3"/>
        <v>76099.100000000006</v>
      </c>
    </row>
    <row r="29" spans="1:49" x14ac:dyDescent="0.55000000000000004">
      <c r="A29" s="11" t="s">
        <v>41</v>
      </c>
      <c r="B29" s="7" t="s">
        <v>13</v>
      </c>
      <c r="C29" s="10">
        <v>45.95</v>
      </c>
      <c r="D29" s="10">
        <v>35.31</v>
      </c>
      <c r="E29" s="10">
        <v>0</v>
      </c>
      <c r="F29" s="10">
        <v>1.94</v>
      </c>
      <c r="G29" s="10">
        <v>3.1</v>
      </c>
      <c r="H29" s="10">
        <v>8.9499999999999993</v>
      </c>
      <c r="I29" s="10">
        <v>7.85</v>
      </c>
      <c r="J29" s="7">
        <f t="shared" si="4"/>
        <v>6.69</v>
      </c>
      <c r="K29" s="10">
        <v>42.08</v>
      </c>
      <c r="L29" s="7">
        <v>57.92</v>
      </c>
      <c r="M29" s="10">
        <v>81894</v>
      </c>
      <c r="N29" s="10">
        <v>4059</v>
      </c>
      <c r="O29" s="7">
        <f t="shared" si="5"/>
        <v>77835</v>
      </c>
      <c r="P29" s="10">
        <f>ROUND($C29+MIN($D29:$E29)*(1-SUMIFS(PrefFlows!$C:$C,PrefFlows!$A:$A,INDEX($D$1:$E$1,MATCH(MIN($D29:$E29),$D29:$E29,0)),PrefFlows!$B:$B,$B29)),2)</f>
        <v>45.95</v>
      </c>
      <c r="Q29" s="10">
        <f>ROUND(MAX($D29:$E29)+MIN($D29:$E29)*SUMIFS(PrefFlows!$C:$C,PrefFlows!$A:$A,INDEX($D$1:$E$1,MATCH(MIN($D29:$E29),$D29:$E29,0)),PrefFlows!$B:$B,$B29),2)</f>
        <v>35.31</v>
      </c>
      <c r="R29" s="10">
        <f t="shared" si="6"/>
        <v>3.1</v>
      </c>
      <c r="S29" s="10">
        <f t="shared" si="7"/>
        <v>8.9499999999999993</v>
      </c>
      <c r="T29" s="7">
        <f t="shared" si="8"/>
        <v>6.69</v>
      </c>
      <c r="U29" s="9">
        <f t="shared" si="9"/>
        <v>-10.64</v>
      </c>
      <c r="V29" s="10">
        <f>ROUND($R29*SUMIFS(PrefFlows!$C:$C,PrefFlows!$A:$A,$R$1,PrefFlows!$B:$B,$B29)+$S29*SUMIFS(PrefFlows!$C:$C,PrefFlows!$A:$A,$S$1,PrefFlows!$B:$B,$B29)+$T29*SUMIFS(PrefFlows!$C:$C,PrefFlows!$A:$A,$T$1,PrefFlows!$B:$B,$B29),2)</f>
        <v>6.75</v>
      </c>
      <c r="W29" s="7">
        <f>ROUND($R29*(1-SUMIFS(PrefFlows!$C:$C,PrefFlows!$A:$A,$R$1,PrefFlows!$B:$B,$B29))+$S29*(1-SUMIFS(PrefFlows!$C:$C,PrefFlows!$A:$A,$S$1,PrefFlows!$B:$B,$B29))+$T29*(1-SUMIFS(PrefFlows!$C:$C,PrefFlows!$A:$A,$T$1,PrefFlows!$B:$B,$B29)),2)</f>
        <v>11.99</v>
      </c>
      <c r="X29" s="10">
        <f t="shared" si="10"/>
        <v>6.77</v>
      </c>
      <c r="Y29" s="7">
        <f t="shared" si="11"/>
        <v>11.97</v>
      </c>
      <c r="Z29" s="10">
        <f t="shared" si="12"/>
        <v>0.36020000000000002</v>
      </c>
      <c r="AA29" s="10">
        <f t="shared" si="13"/>
        <v>0.36130000000000001</v>
      </c>
      <c r="AB29" s="10">
        <f t="shared" si="14"/>
        <v>1.1000000000000001E-3</v>
      </c>
      <c r="AC29" s="7">
        <v>4.6384722615380597E-2</v>
      </c>
      <c r="AD29" s="10">
        <f>ROUND(R29*(1-(Exhaust!$B$2+AC29)),2)</f>
        <v>1.22</v>
      </c>
      <c r="AE29" s="10">
        <f>ROUND(S29*(1-(Exhaust!$B$3+$AC29)),2)</f>
        <v>4.95</v>
      </c>
      <c r="AF29" s="7">
        <f>ROUND(T29*(1-(Exhaust!$B$4+$AC29)),2)</f>
        <v>3.03</v>
      </c>
      <c r="AG29" s="10">
        <f>ROUND($AD29*(SUMIFS(PrefFlows!$C:$C,PrefFlows!$A:$A,$R$1,PrefFlows!$B:$B,$B29)+$AB29)+$AE29*(SUMIFS(PrefFlows!$C:$C,PrefFlows!$A:$A,$S$1,PrefFlows!$B:$B,$B29)+$AB29)+$AF29*(SUMIFS(PrefFlows!$C:$C,PrefFlows!$A:$A,$T$1,PrefFlows!$B:$B,$B29)+$AB29),2)</f>
        <v>3.13</v>
      </c>
      <c r="AH29" s="7">
        <f>ROUND($AD29*(1-(SUMIFS(PrefFlows!$C:$C,PrefFlows!$A:$A,$R$1,PrefFlows!$B:$B,$B29)+$AB29))+$AE29*(1-(SUMIFS(PrefFlows!$C:$C,PrefFlows!$A:$A,$S$1,PrefFlows!$B:$B,$B29)+$AB29))+$AF29*(1-(SUMIFS(PrefFlows!$C:$C,PrefFlows!$A:$A,$T$1,PrefFlows!$B:$B,$B29)+$AB29)),2)</f>
        <v>6.07</v>
      </c>
      <c r="AI29" s="10">
        <f t="shared" si="15"/>
        <v>38.44</v>
      </c>
      <c r="AJ29" s="7">
        <f t="shared" si="16"/>
        <v>52.02</v>
      </c>
      <c r="AK29" s="10">
        <f t="shared" si="17"/>
        <v>42.49</v>
      </c>
      <c r="AL29" s="7">
        <f t="shared" si="17"/>
        <v>57.51</v>
      </c>
      <c r="AM29" s="1">
        <f t="shared" si="0"/>
        <v>-7.92</v>
      </c>
      <c r="AN29" s="1">
        <f t="shared" si="1"/>
        <v>-7.33</v>
      </c>
      <c r="AO29" s="7">
        <f t="shared" si="2"/>
        <v>-7.51</v>
      </c>
      <c r="AP29" s="1" t="b">
        <f t="shared" si="18"/>
        <v>0</v>
      </c>
      <c r="AQ29" s="1" t="b">
        <f t="shared" si="18"/>
        <v>0</v>
      </c>
      <c r="AR29" s="7" t="b">
        <f t="shared" si="19"/>
        <v>0</v>
      </c>
      <c r="AS29" s="1">
        <f t="shared" si="20"/>
        <v>0.58999999999999986</v>
      </c>
      <c r="AT29" s="1">
        <f t="shared" si="20"/>
        <v>0.41000000000000014</v>
      </c>
      <c r="AU29" s="7">
        <f t="shared" si="21"/>
        <v>0.17999999999999972</v>
      </c>
      <c r="AV29" s="1">
        <f>ROUND(IF(B29="NSW",N29*Meta!$B$6,N29),1)</f>
        <v>2719.5</v>
      </c>
      <c r="AW29" s="7">
        <f t="shared" si="3"/>
        <v>72569.600000000006</v>
      </c>
    </row>
    <row r="30" spans="1:49" x14ac:dyDescent="0.55000000000000004">
      <c r="A30" s="11" t="s">
        <v>42</v>
      </c>
      <c r="B30" s="7" t="s">
        <v>13</v>
      </c>
      <c r="C30" s="10">
        <v>55.65</v>
      </c>
      <c r="D30" s="10">
        <v>29.08</v>
      </c>
      <c r="E30" s="10">
        <v>0</v>
      </c>
      <c r="F30" s="10">
        <v>0</v>
      </c>
      <c r="G30" s="10">
        <v>2.21</v>
      </c>
      <c r="H30" s="10">
        <v>6.04</v>
      </c>
      <c r="I30" s="10">
        <v>9.23</v>
      </c>
      <c r="J30" s="7">
        <f t="shared" si="4"/>
        <v>7.02</v>
      </c>
      <c r="K30" s="10">
        <v>37.020000000000003</v>
      </c>
      <c r="L30" s="7">
        <v>62.98</v>
      </c>
      <c r="M30" s="10">
        <v>79627</v>
      </c>
      <c r="N30" s="10">
        <v>8043</v>
      </c>
      <c r="O30" s="7">
        <f t="shared" si="5"/>
        <v>71584</v>
      </c>
      <c r="P30" s="10">
        <f>ROUND($C30+MIN($D30:$E30)*(1-SUMIFS(PrefFlows!$C:$C,PrefFlows!$A:$A,INDEX($D$1:$E$1,MATCH(MIN($D30:$E30),$D30:$E30,0)),PrefFlows!$B:$B,$B30)),2)</f>
        <v>55.65</v>
      </c>
      <c r="Q30" s="10">
        <f>ROUND(MAX($D30:$E30)+MIN($D30:$E30)*SUMIFS(PrefFlows!$C:$C,PrefFlows!$A:$A,INDEX($D$1:$E$1,MATCH(MIN($D30:$E30),$D30:$E30,0)),PrefFlows!$B:$B,$B30),2)</f>
        <v>29.08</v>
      </c>
      <c r="R30" s="10">
        <f t="shared" si="6"/>
        <v>2.21</v>
      </c>
      <c r="S30" s="10">
        <f t="shared" si="7"/>
        <v>6.04</v>
      </c>
      <c r="T30" s="7">
        <f t="shared" si="8"/>
        <v>7.02</v>
      </c>
      <c r="U30" s="9">
        <f t="shared" si="9"/>
        <v>-26.57</v>
      </c>
      <c r="V30" s="10">
        <f>ROUND($R30*SUMIFS(PrefFlows!$C:$C,PrefFlows!$A:$A,$R$1,PrefFlows!$B:$B,$B30)+$S30*SUMIFS(PrefFlows!$C:$C,PrefFlows!$A:$A,$S$1,PrefFlows!$B:$B,$B30)+$T30*SUMIFS(PrefFlows!$C:$C,PrefFlows!$A:$A,$T$1,PrefFlows!$B:$B,$B30),2)</f>
        <v>5.93</v>
      </c>
      <c r="W30" s="7">
        <f>ROUND($R30*(1-SUMIFS(PrefFlows!$C:$C,PrefFlows!$A:$A,$R$1,PrefFlows!$B:$B,$B30))+$S30*(1-SUMIFS(PrefFlows!$C:$C,PrefFlows!$A:$A,$S$1,PrefFlows!$B:$B,$B30))+$T30*(1-SUMIFS(PrefFlows!$C:$C,PrefFlows!$A:$A,$T$1,PrefFlows!$B:$B,$B30)),2)</f>
        <v>9.34</v>
      </c>
      <c r="X30" s="10">
        <f t="shared" si="10"/>
        <v>7.94</v>
      </c>
      <c r="Y30" s="7">
        <f t="shared" si="11"/>
        <v>7.33</v>
      </c>
      <c r="Z30" s="10">
        <f t="shared" si="12"/>
        <v>0.38829999999999998</v>
      </c>
      <c r="AA30" s="10">
        <f t="shared" si="13"/>
        <v>0.52</v>
      </c>
      <c r="AB30" s="10">
        <f t="shared" si="14"/>
        <v>0.13170000000000001</v>
      </c>
      <c r="AC30" s="7">
        <v>8.6163971325159003E-2</v>
      </c>
      <c r="AD30" s="10">
        <f>ROUND(R30*(1-(Exhaust!$B$2+AC30)),2)</f>
        <v>0.78</v>
      </c>
      <c r="AE30" s="10">
        <f>ROUND(S30*(1-(Exhaust!$B$3+$AC30)),2)</f>
        <v>3.1</v>
      </c>
      <c r="AF30" s="7">
        <f>ROUND(T30*(1-(Exhaust!$B$4+$AC30)),2)</f>
        <v>2.91</v>
      </c>
      <c r="AG30" s="10">
        <f>ROUND($AD30*(SUMIFS(PrefFlows!$C:$C,PrefFlows!$A:$A,$R$1,PrefFlows!$B:$B,$B30)+$AB30)+$AE30*(SUMIFS(PrefFlows!$C:$C,PrefFlows!$A:$A,$S$1,PrefFlows!$B:$B,$B30)+$AB30)+$AF30*(SUMIFS(PrefFlows!$C:$C,PrefFlows!$A:$A,$T$1,PrefFlows!$B:$B,$B30)+$AB30),2)</f>
        <v>3.39</v>
      </c>
      <c r="AH30" s="7">
        <f>ROUND($AD30*(1-(SUMIFS(PrefFlows!$C:$C,PrefFlows!$A:$A,$R$1,PrefFlows!$B:$B,$B30)+$AB30))+$AE30*(1-(SUMIFS(PrefFlows!$C:$C,PrefFlows!$A:$A,$S$1,PrefFlows!$B:$B,$B30)+$AB30))+$AF30*(1-(SUMIFS(PrefFlows!$C:$C,PrefFlows!$A:$A,$T$1,PrefFlows!$B:$B,$B30)+$AB30)),2)</f>
        <v>3.4</v>
      </c>
      <c r="AI30" s="10">
        <f t="shared" si="15"/>
        <v>32.47</v>
      </c>
      <c r="AJ30" s="7">
        <f t="shared" si="16"/>
        <v>59.05</v>
      </c>
      <c r="AK30" s="10">
        <f t="shared" si="17"/>
        <v>35.479999999999997</v>
      </c>
      <c r="AL30" s="7">
        <f t="shared" si="17"/>
        <v>64.52</v>
      </c>
      <c r="AM30" s="1">
        <f t="shared" si="0"/>
        <v>-12.98</v>
      </c>
      <c r="AN30" s="1">
        <f t="shared" si="1"/>
        <v>-14.16</v>
      </c>
      <c r="AO30" s="7">
        <f t="shared" si="2"/>
        <v>-14.52</v>
      </c>
      <c r="AP30" s="1" t="b">
        <f t="shared" si="18"/>
        <v>0</v>
      </c>
      <c r="AQ30" s="1" t="b">
        <f t="shared" si="18"/>
        <v>0</v>
      </c>
      <c r="AR30" s="7" t="b">
        <f t="shared" si="19"/>
        <v>0</v>
      </c>
      <c r="AS30" s="1">
        <f t="shared" si="20"/>
        <v>-1.1799999999999997</v>
      </c>
      <c r="AT30" s="1">
        <f t="shared" si="20"/>
        <v>-1.5399999999999991</v>
      </c>
      <c r="AU30" s="7">
        <f t="shared" si="21"/>
        <v>0.35999999999999943</v>
      </c>
      <c r="AV30" s="1">
        <f>ROUND(IF(B30="NSW",N30*Meta!$B$6,N30),1)</f>
        <v>5388.8</v>
      </c>
      <c r="AW30" s="7">
        <f t="shared" si="3"/>
        <v>69844.100000000006</v>
      </c>
    </row>
    <row r="31" spans="1:49" x14ac:dyDescent="0.55000000000000004">
      <c r="A31" s="11" t="s">
        <v>43</v>
      </c>
      <c r="B31" s="7" t="s">
        <v>10</v>
      </c>
      <c r="C31" s="10">
        <v>43.99</v>
      </c>
      <c r="D31" s="10">
        <v>43.61</v>
      </c>
      <c r="E31" s="10">
        <v>0</v>
      </c>
      <c r="F31" s="10">
        <v>2.0099999999999998</v>
      </c>
      <c r="G31" s="10">
        <v>0</v>
      </c>
      <c r="H31" s="10">
        <v>7.34</v>
      </c>
      <c r="I31" s="10">
        <v>3.05</v>
      </c>
      <c r="J31" s="7">
        <f t="shared" si="4"/>
        <v>5.0599999999999996</v>
      </c>
      <c r="K31" s="10">
        <v>47.35</v>
      </c>
      <c r="L31" s="7">
        <v>52.65</v>
      </c>
      <c r="M31" s="10">
        <v>80530</v>
      </c>
      <c r="N31" s="10">
        <v>2700</v>
      </c>
      <c r="O31" s="7">
        <f t="shared" si="5"/>
        <v>77830</v>
      </c>
      <c r="P31" s="10">
        <f>ROUND($C31+MIN($D31:$E31)*(1-SUMIFS(PrefFlows!$C:$C,PrefFlows!$A:$A,INDEX($D$1:$E$1,MATCH(MIN($D31:$E31),$D31:$E31,0)),PrefFlows!$B:$B,$B31)),2)</f>
        <v>43.99</v>
      </c>
      <c r="Q31" s="10">
        <f>ROUND(MAX($D31:$E31)+MIN($D31:$E31)*SUMIFS(PrefFlows!$C:$C,PrefFlows!$A:$A,INDEX($D$1:$E$1,MATCH(MIN($D31:$E31),$D31:$E31,0)),PrefFlows!$B:$B,$B31),2)</f>
        <v>43.61</v>
      </c>
      <c r="R31" s="10">
        <f t="shared" si="6"/>
        <v>0</v>
      </c>
      <c r="S31" s="10">
        <f t="shared" si="7"/>
        <v>7.34</v>
      </c>
      <c r="T31" s="7">
        <f t="shared" si="8"/>
        <v>5.0599999999999996</v>
      </c>
      <c r="U31" s="9">
        <f t="shared" si="9"/>
        <v>-0.38</v>
      </c>
      <c r="V31" s="10">
        <f>ROUND($R31*SUMIFS(PrefFlows!$C:$C,PrefFlows!$A:$A,$R$1,PrefFlows!$B:$B,$B31)+$S31*SUMIFS(PrefFlows!$C:$C,PrefFlows!$A:$A,$S$1,PrefFlows!$B:$B,$B31)+$T31*SUMIFS(PrefFlows!$C:$C,PrefFlows!$A:$A,$T$1,PrefFlows!$B:$B,$B31),2)</f>
        <v>3.9</v>
      </c>
      <c r="W31" s="7">
        <f>ROUND($R31*(1-SUMIFS(PrefFlows!$C:$C,PrefFlows!$A:$A,$R$1,PrefFlows!$B:$B,$B31))+$S31*(1-SUMIFS(PrefFlows!$C:$C,PrefFlows!$A:$A,$S$1,PrefFlows!$B:$B,$B31))+$T31*(1-SUMIFS(PrefFlows!$C:$C,PrefFlows!$A:$A,$T$1,PrefFlows!$B:$B,$B31)),2)</f>
        <v>8.5</v>
      </c>
      <c r="X31" s="10">
        <f t="shared" si="10"/>
        <v>3.74</v>
      </c>
      <c r="Y31" s="7">
        <f t="shared" si="11"/>
        <v>8.66</v>
      </c>
      <c r="Z31" s="10">
        <f t="shared" si="12"/>
        <v>0.3145</v>
      </c>
      <c r="AA31" s="10">
        <f t="shared" si="13"/>
        <v>0.30159999999999998</v>
      </c>
      <c r="AB31" s="10">
        <f t="shared" si="14"/>
        <v>-1.29E-2</v>
      </c>
      <c r="AC31" s="7">
        <v>-5.2849870289560903E-2</v>
      </c>
      <c r="AD31" s="10">
        <f>ROUND(R31*(1-(Exhaust!$B$2+AC31)),2)</f>
        <v>0</v>
      </c>
      <c r="AE31" s="10">
        <f>ROUND(S31*(1-(Exhaust!$B$3+$AC31)),2)</f>
        <v>4.79</v>
      </c>
      <c r="AF31" s="7">
        <f>ROUND(T31*(1-(Exhaust!$B$4+$AC31)),2)</f>
        <v>2.8</v>
      </c>
      <c r="AG31" s="10">
        <f>ROUND($AD31*(SUMIFS(PrefFlows!$C:$C,PrefFlows!$A:$A,$R$1,PrefFlows!$B:$B,$B31)+$AB31)+$AE31*(SUMIFS(PrefFlows!$C:$C,PrefFlows!$A:$A,$S$1,PrefFlows!$B:$B,$B31)+$AB31)+$AF31*(SUMIFS(PrefFlows!$C:$C,PrefFlows!$A:$A,$T$1,PrefFlows!$B:$B,$B31)+$AB31),2)</f>
        <v>2.1800000000000002</v>
      </c>
      <c r="AH31" s="7">
        <f>ROUND($AD31*(1-(SUMIFS(PrefFlows!$C:$C,PrefFlows!$A:$A,$R$1,PrefFlows!$B:$B,$B31)+$AB31))+$AE31*(1-(SUMIFS(PrefFlows!$C:$C,PrefFlows!$A:$A,$S$1,PrefFlows!$B:$B,$B31)+$AB31))+$AF31*(1-(SUMIFS(PrefFlows!$C:$C,PrefFlows!$A:$A,$T$1,PrefFlows!$B:$B,$B31)+$AB31)),2)</f>
        <v>5.41</v>
      </c>
      <c r="AI31" s="10">
        <f t="shared" si="15"/>
        <v>45.79</v>
      </c>
      <c r="AJ31" s="7">
        <f t="shared" si="16"/>
        <v>49.4</v>
      </c>
      <c r="AK31" s="10">
        <f t="shared" si="17"/>
        <v>48.1</v>
      </c>
      <c r="AL31" s="7">
        <f t="shared" si="17"/>
        <v>51.9</v>
      </c>
      <c r="AM31" s="1">
        <f t="shared" si="0"/>
        <v>-2.65</v>
      </c>
      <c r="AN31" s="1">
        <f t="shared" si="1"/>
        <v>-1.56</v>
      </c>
      <c r="AO31" s="7">
        <f t="shared" si="2"/>
        <v>-1.9</v>
      </c>
      <c r="AP31" s="1" t="b">
        <f t="shared" si="18"/>
        <v>0</v>
      </c>
      <c r="AQ31" s="1" t="b">
        <f t="shared" si="18"/>
        <v>0</v>
      </c>
      <c r="AR31" s="7" t="b">
        <f t="shared" si="19"/>
        <v>0</v>
      </c>
      <c r="AS31" s="1">
        <f t="shared" si="20"/>
        <v>1.0899999999999999</v>
      </c>
      <c r="AT31" s="1">
        <f t="shared" si="20"/>
        <v>0.75</v>
      </c>
      <c r="AU31" s="7">
        <f t="shared" si="21"/>
        <v>0.33999999999999986</v>
      </c>
      <c r="AV31" s="1">
        <f>ROUND(IF(B31="NSW",N31*Meta!$B$6,N31),1)</f>
        <v>2700</v>
      </c>
      <c r="AW31" s="7">
        <f t="shared" si="3"/>
        <v>75077.2</v>
      </c>
    </row>
    <row r="32" spans="1:49" x14ac:dyDescent="0.55000000000000004">
      <c r="A32" s="11" t="s">
        <v>44</v>
      </c>
      <c r="B32" s="7" t="s">
        <v>13</v>
      </c>
      <c r="C32" s="10">
        <v>27.69</v>
      </c>
      <c r="D32" s="10">
        <v>58.03</v>
      </c>
      <c r="E32" s="10">
        <v>0</v>
      </c>
      <c r="F32" s="10">
        <v>0.89</v>
      </c>
      <c r="G32" s="10">
        <v>2.13</v>
      </c>
      <c r="H32" s="10">
        <v>6.92</v>
      </c>
      <c r="I32" s="10">
        <v>6.47</v>
      </c>
      <c r="J32" s="7">
        <f t="shared" si="4"/>
        <v>5.23</v>
      </c>
      <c r="K32" s="10">
        <v>63.82</v>
      </c>
      <c r="L32" s="7">
        <v>36.18</v>
      </c>
      <c r="M32" s="10">
        <v>78727</v>
      </c>
      <c r="N32" s="10">
        <v>4350</v>
      </c>
      <c r="O32" s="7">
        <f t="shared" si="5"/>
        <v>74377</v>
      </c>
      <c r="P32" s="10">
        <f>ROUND($C32+MIN($D32:$E32)*(1-SUMIFS(PrefFlows!$C:$C,PrefFlows!$A:$A,INDEX($D$1:$E$1,MATCH(MIN($D32:$E32),$D32:$E32,0)),PrefFlows!$B:$B,$B32)),2)</f>
        <v>27.69</v>
      </c>
      <c r="Q32" s="10">
        <f>ROUND(MAX($D32:$E32)+MIN($D32:$E32)*SUMIFS(PrefFlows!$C:$C,PrefFlows!$A:$A,INDEX($D$1:$E$1,MATCH(MIN($D32:$E32),$D32:$E32,0)),PrefFlows!$B:$B,$B32),2)</f>
        <v>58.03</v>
      </c>
      <c r="R32" s="10">
        <f t="shared" si="6"/>
        <v>2.13</v>
      </c>
      <c r="S32" s="10">
        <f t="shared" si="7"/>
        <v>6.92</v>
      </c>
      <c r="T32" s="7">
        <f t="shared" si="8"/>
        <v>5.23</v>
      </c>
      <c r="U32" s="9">
        <f t="shared" si="9"/>
        <v>30.34</v>
      </c>
      <c r="V32" s="10">
        <f>ROUND($R32*SUMIFS(PrefFlows!$C:$C,PrefFlows!$A:$A,$R$1,PrefFlows!$B:$B,$B32)+$S32*SUMIFS(PrefFlows!$C:$C,PrefFlows!$A:$A,$S$1,PrefFlows!$B:$B,$B32)+$T32*SUMIFS(PrefFlows!$C:$C,PrefFlows!$A:$A,$T$1,PrefFlows!$B:$B,$B32),2)</f>
        <v>5.1100000000000003</v>
      </c>
      <c r="W32" s="7">
        <f>ROUND($R32*(1-SUMIFS(PrefFlows!$C:$C,PrefFlows!$A:$A,$R$1,PrefFlows!$B:$B,$B32))+$S32*(1-SUMIFS(PrefFlows!$C:$C,PrefFlows!$A:$A,$S$1,PrefFlows!$B:$B,$B32))+$T32*(1-SUMIFS(PrefFlows!$C:$C,PrefFlows!$A:$A,$T$1,PrefFlows!$B:$B,$B32)),2)</f>
        <v>9.17</v>
      </c>
      <c r="X32" s="10">
        <f t="shared" si="10"/>
        <v>5.79</v>
      </c>
      <c r="Y32" s="7">
        <f t="shared" si="11"/>
        <v>8.49</v>
      </c>
      <c r="Z32" s="10">
        <f t="shared" si="12"/>
        <v>0.35780000000000001</v>
      </c>
      <c r="AA32" s="10">
        <f t="shared" si="13"/>
        <v>0.40550000000000003</v>
      </c>
      <c r="AB32" s="10">
        <f t="shared" si="14"/>
        <v>4.7699999999999999E-2</v>
      </c>
      <c r="AC32" s="7">
        <v>2.7377091758545899E-2</v>
      </c>
      <c r="AD32" s="10">
        <f>ROUND(R32*(1-(Exhaust!$B$2+AC32)),2)</f>
        <v>0.88</v>
      </c>
      <c r="AE32" s="10">
        <f>ROUND(S32*(1-(Exhaust!$B$3+$AC32)),2)</f>
        <v>3.96</v>
      </c>
      <c r="AF32" s="7">
        <f>ROUND(T32*(1-(Exhaust!$B$4+$AC32)),2)</f>
        <v>2.4700000000000002</v>
      </c>
      <c r="AG32" s="10">
        <f>ROUND($AD32*(SUMIFS(PrefFlows!$C:$C,PrefFlows!$A:$A,$R$1,PrefFlows!$B:$B,$B32)+$AB32)+$AE32*(SUMIFS(PrefFlows!$C:$C,PrefFlows!$A:$A,$S$1,PrefFlows!$B:$B,$B32)+$AB32)+$AF32*(SUMIFS(PrefFlows!$C:$C,PrefFlows!$A:$A,$T$1,PrefFlows!$B:$B,$B32)+$AB32),2)</f>
        <v>2.82</v>
      </c>
      <c r="AH32" s="7">
        <f>ROUND($AD32*(1-(SUMIFS(PrefFlows!$C:$C,PrefFlows!$A:$A,$R$1,PrefFlows!$B:$B,$B32)+$AB32))+$AE32*(1-(SUMIFS(PrefFlows!$C:$C,PrefFlows!$A:$A,$S$1,PrefFlows!$B:$B,$B32)+$AB32))+$AF32*(1-(SUMIFS(PrefFlows!$C:$C,PrefFlows!$A:$A,$T$1,PrefFlows!$B:$B,$B32)+$AB32)),2)</f>
        <v>4.49</v>
      </c>
      <c r="AI32" s="10">
        <f t="shared" si="15"/>
        <v>60.85</v>
      </c>
      <c r="AJ32" s="7">
        <f t="shared" si="16"/>
        <v>32.18</v>
      </c>
      <c r="AK32" s="10">
        <f t="shared" si="17"/>
        <v>65.41</v>
      </c>
      <c r="AL32" s="7">
        <f t="shared" si="17"/>
        <v>34.590000000000003</v>
      </c>
      <c r="AM32" s="1">
        <f t="shared" si="0"/>
        <v>13.82</v>
      </c>
      <c r="AN32" s="1">
        <f t="shared" si="1"/>
        <v>15.53</v>
      </c>
      <c r="AO32" s="7">
        <f t="shared" si="2"/>
        <v>15.41</v>
      </c>
      <c r="AP32" s="1" t="b">
        <f t="shared" si="18"/>
        <v>0</v>
      </c>
      <c r="AQ32" s="1" t="b">
        <f t="shared" si="18"/>
        <v>0</v>
      </c>
      <c r="AR32" s="7" t="b">
        <f t="shared" si="19"/>
        <v>0</v>
      </c>
      <c r="AS32" s="1">
        <f t="shared" si="20"/>
        <v>1.7099999999999991</v>
      </c>
      <c r="AT32" s="1">
        <f t="shared" si="20"/>
        <v>1.5899999999999999</v>
      </c>
      <c r="AU32" s="7">
        <f t="shared" si="21"/>
        <v>0.11999999999999922</v>
      </c>
      <c r="AV32" s="1">
        <f>ROUND(IF(B32="NSW",N32*Meta!$B$6,N32),1)</f>
        <v>2914.5</v>
      </c>
      <c r="AW32" s="7">
        <f t="shared" si="3"/>
        <v>71573.600000000006</v>
      </c>
    </row>
    <row r="33" spans="1:49" x14ac:dyDescent="0.55000000000000004">
      <c r="A33" s="11" t="s">
        <v>45</v>
      </c>
      <c r="B33" s="7" t="s">
        <v>10</v>
      </c>
      <c r="C33" s="10">
        <v>36.75</v>
      </c>
      <c r="D33" s="10">
        <v>52.05</v>
      </c>
      <c r="E33" s="10">
        <v>0</v>
      </c>
      <c r="F33" s="10">
        <v>0</v>
      </c>
      <c r="G33" s="10">
        <v>0</v>
      </c>
      <c r="H33" s="10">
        <v>7.51</v>
      </c>
      <c r="I33" s="10">
        <v>3.69</v>
      </c>
      <c r="J33" s="7">
        <f t="shared" si="4"/>
        <v>3.69</v>
      </c>
      <c r="K33" s="10">
        <v>55.32</v>
      </c>
      <c r="L33" s="7">
        <v>44.68</v>
      </c>
      <c r="M33" s="10">
        <v>87294</v>
      </c>
      <c r="N33" s="10">
        <v>2652</v>
      </c>
      <c r="O33" s="7">
        <f t="shared" si="5"/>
        <v>84642</v>
      </c>
      <c r="P33" s="10">
        <f>ROUND($C33+MIN($D33:$E33)*(1-SUMIFS(PrefFlows!$C:$C,PrefFlows!$A:$A,INDEX($D$1:$E$1,MATCH(MIN($D33:$E33),$D33:$E33,0)),PrefFlows!$B:$B,$B33)),2)</f>
        <v>36.75</v>
      </c>
      <c r="Q33" s="10">
        <f>ROUND(MAX($D33:$E33)+MIN($D33:$E33)*SUMIFS(PrefFlows!$C:$C,PrefFlows!$A:$A,INDEX($D$1:$E$1,MATCH(MIN($D33:$E33),$D33:$E33,0)),PrefFlows!$B:$B,$B33),2)</f>
        <v>52.05</v>
      </c>
      <c r="R33" s="10">
        <f t="shared" si="6"/>
        <v>0</v>
      </c>
      <c r="S33" s="10">
        <f t="shared" si="7"/>
        <v>7.51</v>
      </c>
      <c r="T33" s="7">
        <f t="shared" si="8"/>
        <v>3.69</v>
      </c>
      <c r="U33" s="9">
        <f t="shared" si="9"/>
        <v>15.3</v>
      </c>
      <c r="V33" s="10">
        <f>ROUND($R33*SUMIFS(PrefFlows!$C:$C,PrefFlows!$A:$A,$R$1,PrefFlows!$B:$B,$B33)+$S33*SUMIFS(PrefFlows!$C:$C,PrefFlows!$A:$A,$S$1,PrefFlows!$B:$B,$B33)+$T33*SUMIFS(PrefFlows!$C:$C,PrefFlows!$A:$A,$T$1,PrefFlows!$B:$B,$B33),2)</f>
        <v>3.2</v>
      </c>
      <c r="W33" s="7">
        <f>ROUND($R33*(1-SUMIFS(PrefFlows!$C:$C,PrefFlows!$A:$A,$R$1,PrefFlows!$B:$B,$B33))+$S33*(1-SUMIFS(PrefFlows!$C:$C,PrefFlows!$A:$A,$S$1,PrefFlows!$B:$B,$B33))+$T33*(1-SUMIFS(PrefFlows!$C:$C,PrefFlows!$A:$A,$T$1,PrefFlows!$B:$B,$B33)),2)</f>
        <v>8</v>
      </c>
      <c r="X33" s="10">
        <f t="shared" si="10"/>
        <v>3.27</v>
      </c>
      <c r="Y33" s="7">
        <f t="shared" si="11"/>
        <v>7.93</v>
      </c>
      <c r="Z33" s="10">
        <f t="shared" si="12"/>
        <v>0.28570000000000001</v>
      </c>
      <c r="AA33" s="10">
        <f t="shared" si="13"/>
        <v>0.29199999999999998</v>
      </c>
      <c r="AB33" s="10">
        <f t="shared" si="14"/>
        <v>6.3E-3</v>
      </c>
      <c r="AC33" s="7">
        <v>-4.32301183233594E-2</v>
      </c>
      <c r="AD33" s="10">
        <f>ROUND(R33*(1-(Exhaust!$B$2+AC33)),2)</f>
        <v>0</v>
      </c>
      <c r="AE33" s="10">
        <f>ROUND(S33*(1-(Exhaust!$B$3+$AC33)),2)</f>
        <v>4.83</v>
      </c>
      <c r="AF33" s="7">
        <f>ROUND(T33*(1-(Exhaust!$B$4+$AC33)),2)</f>
        <v>2</v>
      </c>
      <c r="AG33" s="10">
        <f>ROUND($AD33*(SUMIFS(PrefFlows!$C:$C,PrefFlows!$A:$A,$R$1,PrefFlows!$B:$B,$B33)+$AB33)+$AE33*(SUMIFS(PrefFlows!$C:$C,PrefFlows!$A:$A,$S$1,PrefFlows!$B:$B,$B33)+$AB33)+$AF33*(SUMIFS(PrefFlows!$C:$C,PrefFlows!$A:$A,$T$1,PrefFlows!$B:$B,$B33)+$AB33),2)</f>
        <v>1.91</v>
      </c>
      <c r="AH33" s="7">
        <f>ROUND($AD33*(1-(SUMIFS(PrefFlows!$C:$C,PrefFlows!$A:$A,$R$1,PrefFlows!$B:$B,$B33)+$AB33))+$AE33*(1-(SUMIFS(PrefFlows!$C:$C,PrefFlows!$A:$A,$S$1,PrefFlows!$B:$B,$B33)+$AB33))+$AF33*(1-(SUMIFS(PrefFlows!$C:$C,PrefFlows!$A:$A,$T$1,PrefFlows!$B:$B,$B33)+$AB33)),2)</f>
        <v>4.92</v>
      </c>
      <c r="AI33" s="10">
        <f t="shared" si="15"/>
        <v>53.96</v>
      </c>
      <c r="AJ33" s="7">
        <f t="shared" si="16"/>
        <v>41.67</v>
      </c>
      <c r="AK33" s="10">
        <f t="shared" si="17"/>
        <v>56.43</v>
      </c>
      <c r="AL33" s="7">
        <f t="shared" si="17"/>
        <v>43.57</v>
      </c>
      <c r="AM33" s="1">
        <f t="shared" si="0"/>
        <v>5.32</v>
      </c>
      <c r="AN33" s="1">
        <f t="shared" si="1"/>
        <v>6.8</v>
      </c>
      <c r="AO33" s="7">
        <f t="shared" si="2"/>
        <v>6.43</v>
      </c>
      <c r="AP33" s="1" t="b">
        <f t="shared" si="18"/>
        <v>0</v>
      </c>
      <c r="AQ33" s="1" t="b">
        <f t="shared" si="18"/>
        <v>0</v>
      </c>
      <c r="AR33" s="7" t="b">
        <f t="shared" si="19"/>
        <v>0</v>
      </c>
      <c r="AS33" s="1">
        <f t="shared" si="20"/>
        <v>1.4799999999999995</v>
      </c>
      <c r="AT33" s="1">
        <f t="shared" si="20"/>
        <v>1.1099999999999994</v>
      </c>
      <c r="AU33" s="7">
        <f t="shared" si="21"/>
        <v>0.37000000000000011</v>
      </c>
      <c r="AV33" s="1">
        <f>ROUND(IF(B33="NSW",N33*Meta!$B$6,N33),1)</f>
        <v>2652</v>
      </c>
      <c r="AW33" s="7">
        <f t="shared" si="3"/>
        <v>81920.899999999994</v>
      </c>
    </row>
    <row r="34" spans="1:49" x14ac:dyDescent="0.55000000000000004">
      <c r="A34" s="11" t="s">
        <v>46</v>
      </c>
      <c r="B34" s="7" t="s">
        <v>10</v>
      </c>
      <c r="C34" s="10">
        <v>46.68</v>
      </c>
      <c r="D34" s="10">
        <v>40.29</v>
      </c>
      <c r="E34" s="10">
        <v>0</v>
      </c>
      <c r="F34" s="10">
        <v>0</v>
      </c>
      <c r="G34" s="10">
        <v>0</v>
      </c>
      <c r="H34" s="10">
        <v>5.91</v>
      </c>
      <c r="I34" s="10">
        <v>7.12</v>
      </c>
      <c r="J34" s="7">
        <f t="shared" si="4"/>
        <v>7.12</v>
      </c>
      <c r="K34" s="10">
        <v>44.36</v>
      </c>
      <c r="L34" s="7">
        <v>55.64</v>
      </c>
      <c r="M34" s="10">
        <v>83804</v>
      </c>
      <c r="N34" s="10">
        <v>3667</v>
      </c>
      <c r="O34" s="7">
        <f t="shared" si="5"/>
        <v>80137</v>
      </c>
      <c r="P34" s="10">
        <f>ROUND($C34+MIN($D34:$E34)*(1-SUMIFS(PrefFlows!$C:$C,PrefFlows!$A:$A,INDEX($D$1:$E$1,MATCH(MIN($D34:$E34),$D34:$E34,0)),PrefFlows!$B:$B,$B34)),2)</f>
        <v>46.68</v>
      </c>
      <c r="Q34" s="10">
        <f>ROUND(MAX($D34:$E34)+MIN($D34:$E34)*SUMIFS(PrefFlows!$C:$C,PrefFlows!$A:$A,INDEX($D$1:$E$1,MATCH(MIN($D34:$E34),$D34:$E34,0)),PrefFlows!$B:$B,$B34),2)</f>
        <v>40.29</v>
      </c>
      <c r="R34" s="10">
        <f t="shared" si="6"/>
        <v>0</v>
      </c>
      <c r="S34" s="10">
        <f t="shared" si="7"/>
        <v>5.91</v>
      </c>
      <c r="T34" s="7">
        <f t="shared" si="8"/>
        <v>7.12</v>
      </c>
      <c r="U34" s="9">
        <f t="shared" si="9"/>
        <v>-6.39</v>
      </c>
      <c r="V34" s="10">
        <f>ROUND($R34*SUMIFS(PrefFlows!$C:$C,PrefFlows!$A:$A,$R$1,PrefFlows!$B:$B,$B34)+$S34*SUMIFS(PrefFlows!$C:$C,PrefFlows!$A:$A,$S$1,PrefFlows!$B:$B,$B34)+$T34*SUMIFS(PrefFlows!$C:$C,PrefFlows!$A:$A,$T$1,PrefFlows!$B:$B,$B34),2)</f>
        <v>4.74</v>
      </c>
      <c r="W34" s="7">
        <f>ROUND($R34*(1-SUMIFS(PrefFlows!$C:$C,PrefFlows!$A:$A,$R$1,PrefFlows!$B:$B,$B34))+$S34*(1-SUMIFS(PrefFlows!$C:$C,PrefFlows!$A:$A,$S$1,PrefFlows!$B:$B,$B34))+$T34*(1-SUMIFS(PrefFlows!$C:$C,PrefFlows!$A:$A,$T$1,PrefFlows!$B:$B,$B34)),2)</f>
        <v>8.2899999999999991</v>
      </c>
      <c r="X34" s="10">
        <f t="shared" si="10"/>
        <v>4.07</v>
      </c>
      <c r="Y34" s="7">
        <f t="shared" si="11"/>
        <v>8.9600000000000009</v>
      </c>
      <c r="Z34" s="10">
        <f t="shared" si="12"/>
        <v>0.36380000000000001</v>
      </c>
      <c r="AA34" s="10">
        <f t="shared" si="13"/>
        <v>0.31240000000000001</v>
      </c>
      <c r="AB34" s="10">
        <f t="shared" si="14"/>
        <v>-5.1400000000000001E-2</v>
      </c>
      <c r="AC34" s="7">
        <v>1.23120917155095E-2</v>
      </c>
      <c r="AD34" s="10">
        <f>ROUND(R34*(1-(Exhaust!$B$2+AC34)),2)</f>
        <v>0</v>
      </c>
      <c r="AE34" s="10">
        <f>ROUND(S34*(1-(Exhaust!$B$3+$AC34)),2)</f>
        <v>3.47</v>
      </c>
      <c r="AF34" s="7">
        <f>ROUND(T34*(1-(Exhaust!$B$4+$AC34)),2)</f>
        <v>3.47</v>
      </c>
      <c r="AG34" s="10">
        <f>ROUND($AD34*(SUMIFS(PrefFlows!$C:$C,PrefFlows!$A:$A,$R$1,PrefFlows!$B:$B,$B34)+$AB34)+$AE34*(SUMIFS(PrefFlows!$C:$C,PrefFlows!$A:$A,$S$1,PrefFlows!$B:$B,$B34)+$AB34)+$AF34*(SUMIFS(PrefFlows!$C:$C,PrefFlows!$A:$A,$T$1,PrefFlows!$B:$B,$B34)+$AB34),2)</f>
        <v>2.0499999999999998</v>
      </c>
      <c r="AH34" s="7">
        <f>ROUND($AD34*(1-(SUMIFS(PrefFlows!$C:$C,PrefFlows!$A:$A,$R$1,PrefFlows!$B:$B,$B34)+$AB34))+$AE34*(1-(SUMIFS(PrefFlows!$C:$C,PrefFlows!$A:$A,$S$1,PrefFlows!$B:$B,$B34)+$AB34))+$AF34*(1-(SUMIFS(PrefFlows!$C:$C,PrefFlows!$A:$A,$T$1,PrefFlows!$B:$B,$B34)+$AB34)),2)</f>
        <v>4.8899999999999997</v>
      </c>
      <c r="AI34" s="10">
        <f t="shared" si="15"/>
        <v>42.34</v>
      </c>
      <c r="AJ34" s="7">
        <f t="shared" si="16"/>
        <v>51.57</v>
      </c>
      <c r="AK34" s="10">
        <f t="shared" si="17"/>
        <v>45.09</v>
      </c>
      <c r="AL34" s="7">
        <f t="shared" si="17"/>
        <v>54.91</v>
      </c>
      <c r="AM34" s="1">
        <f t="shared" ref="AM34:AM65" si="22">ROUND(K34-50,2)</f>
        <v>-5.64</v>
      </c>
      <c r="AN34" s="1">
        <f t="shared" ref="AN34:AN65" si="23">ROUND((Q34+X34*0.52)/((Q34+X34*0.52)+(P34+Y34*0.52))*100-50,2)</f>
        <v>-4.76</v>
      </c>
      <c r="AO34" s="7">
        <f t="shared" ref="AO34:AO65" si="24">ROUND(AK34-50,2)</f>
        <v>-4.91</v>
      </c>
      <c r="AP34" s="1" t="b">
        <f t="shared" si="18"/>
        <v>0</v>
      </c>
      <c r="AQ34" s="1" t="b">
        <f t="shared" si="18"/>
        <v>0</v>
      </c>
      <c r="AR34" s="7" t="b">
        <f t="shared" si="19"/>
        <v>0</v>
      </c>
      <c r="AS34" s="1">
        <f t="shared" si="20"/>
        <v>0.87999999999999989</v>
      </c>
      <c r="AT34" s="1">
        <f t="shared" si="20"/>
        <v>0.72999999999999954</v>
      </c>
      <c r="AU34" s="7">
        <f t="shared" si="21"/>
        <v>0.15000000000000036</v>
      </c>
      <c r="AV34" s="1">
        <f>ROUND(IF(B34="NSW",N34*Meta!$B$6,N34),1)</f>
        <v>3667</v>
      </c>
      <c r="AW34" s="7">
        <f t="shared" ref="AW34:AW65" si="25">ROUND((M34-AV34*($AV$153/$AV$152))*SUM($AI34:$AJ34)/100,1)</f>
        <v>76584.2</v>
      </c>
    </row>
    <row r="35" spans="1:49" x14ac:dyDescent="0.55000000000000004">
      <c r="A35" s="11" t="s">
        <v>47</v>
      </c>
      <c r="B35" s="7" t="s">
        <v>31</v>
      </c>
      <c r="C35" s="10">
        <v>43.87</v>
      </c>
      <c r="D35" s="10">
        <v>44.39</v>
      </c>
      <c r="E35" s="10">
        <v>0</v>
      </c>
      <c r="F35" s="10">
        <v>1.31</v>
      </c>
      <c r="G35" s="10">
        <v>2.0099999999999998</v>
      </c>
      <c r="H35" s="10">
        <v>5.59</v>
      </c>
      <c r="I35" s="10">
        <v>4.84</v>
      </c>
      <c r="J35" s="7">
        <f t="shared" si="4"/>
        <v>4.1399999999999997</v>
      </c>
      <c r="K35" s="10">
        <v>49.22</v>
      </c>
      <c r="L35" s="7">
        <v>50.78</v>
      </c>
      <c r="M35" s="10">
        <v>80414</v>
      </c>
      <c r="N35" s="10">
        <v>4032</v>
      </c>
      <c r="O35" s="7">
        <f t="shared" si="5"/>
        <v>76382</v>
      </c>
      <c r="P35" s="10">
        <f>ROUND($C35+MIN($D35:$E35)*(1-SUMIFS(PrefFlows!$C:$C,PrefFlows!$A:$A,INDEX($D$1:$E$1,MATCH(MIN($D35:$E35),$D35:$E35,0)),PrefFlows!$B:$B,$B35)),2)</f>
        <v>43.87</v>
      </c>
      <c r="Q35" s="10">
        <f>ROUND(MAX($D35:$E35)+MIN($D35:$E35)*SUMIFS(PrefFlows!$C:$C,PrefFlows!$A:$A,INDEX($D$1:$E$1,MATCH(MIN($D35:$E35),$D35:$E35,0)),PrefFlows!$B:$B,$B35),2)</f>
        <v>44.39</v>
      </c>
      <c r="R35" s="10">
        <f t="shared" si="6"/>
        <v>2.0099999999999998</v>
      </c>
      <c r="S35" s="10">
        <f t="shared" si="7"/>
        <v>5.59</v>
      </c>
      <c r="T35" s="7">
        <f t="shared" si="8"/>
        <v>4.1399999999999997</v>
      </c>
      <c r="U35" s="9">
        <f t="shared" si="9"/>
        <v>0.52</v>
      </c>
      <c r="V35" s="10">
        <f>ROUND($R35*SUMIFS(PrefFlows!$C:$C,PrefFlows!$A:$A,$R$1,PrefFlows!$B:$B,$B35)+$S35*SUMIFS(PrefFlows!$C:$C,PrefFlows!$A:$A,$S$1,PrefFlows!$B:$B,$B35)+$T35*SUMIFS(PrefFlows!$C:$C,PrefFlows!$A:$A,$T$1,PrefFlows!$B:$B,$B35),2)</f>
        <v>4.5599999999999996</v>
      </c>
      <c r="W35" s="7">
        <f>ROUND($R35*(1-SUMIFS(PrefFlows!$C:$C,PrefFlows!$A:$A,$R$1,PrefFlows!$B:$B,$B35))+$S35*(1-SUMIFS(PrefFlows!$C:$C,PrefFlows!$A:$A,$S$1,PrefFlows!$B:$B,$B35))+$T35*(1-SUMIFS(PrefFlows!$C:$C,PrefFlows!$A:$A,$T$1,PrefFlows!$B:$B,$B35)),2)</f>
        <v>7.18</v>
      </c>
      <c r="X35" s="10">
        <f t="shared" si="10"/>
        <v>4.83</v>
      </c>
      <c r="Y35" s="7">
        <f t="shared" si="11"/>
        <v>6.91</v>
      </c>
      <c r="Z35" s="10">
        <f t="shared" si="12"/>
        <v>0.38840000000000002</v>
      </c>
      <c r="AA35" s="10">
        <f t="shared" si="13"/>
        <v>0.41139999999999999</v>
      </c>
      <c r="AB35" s="10">
        <f t="shared" si="14"/>
        <v>2.3E-2</v>
      </c>
      <c r="AC35" s="7">
        <v>6.8124238896893896E-2</v>
      </c>
      <c r="AD35" s="10">
        <f>ROUND(R35*(1-(Exhaust!$B$2+AC35)),2)</f>
        <v>0.75</v>
      </c>
      <c r="AE35" s="10">
        <f>ROUND(S35*(1-(Exhaust!$B$3+$AC35)),2)</f>
        <v>2.97</v>
      </c>
      <c r="AF35" s="7">
        <f>ROUND(T35*(1-(Exhaust!$B$4+$AC35)),2)</f>
        <v>1.79</v>
      </c>
      <c r="AG35" s="10">
        <f>ROUND($AD35*(SUMIFS(PrefFlows!$C:$C,PrefFlows!$A:$A,$R$1,PrefFlows!$B:$B,$B35)+$AB35)+$AE35*(SUMIFS(PrefFlows!$C:$C,PrefFlows!$A:$A,$S$1,PrefFlows!$B:$B,$B35)+$AB35)+$AF35*(SUMIFS(PrefFlows!$C:$C,PrefFlows!$A:$A,$T$1,PrefFlows!$B:$B,$B35)+$AB35),2)</f>
        <v>2.15</v>
      </c>
      <c r="AH35" s="7">
        <f>ROUND($AD35*(1-(SUMIFS(PrefFlows!$C:$C,PrefFlows!$A:$A,$R$1,PrefFlows!$B:$B,$B35)+$AB35))+$AE35*(1-(SUMIFS(PrefFlows!$C:$C,PrefFlows!$A:$A,$S$1,PrefFlows!$B:$B,$B35)+$AB35))+$AF35*(1-(SUMIFS(PrefFlows!$C:$C,PrefFlows!$A:$A,$T$1,PrefFlows!$B:$B,$B35)+$AB35)),2)</f>
        <v>3.36</v>
      </c>
      <c r="AI35" s="10">
        <f t="shared" si="15"/>
        <v>46.54</v>
      </c>
      <c r="AJ35" s="7">
        <f t="shared" si="16"/>
        <v>47.23</v>
      </c>
      <c r="AK35" s="10">
        <f t="shared" si="17"/>
        <v>49.63</v>
      </c>
      <c r="AL35" s="7">
        <f t="shared" si="17"/>
        <v>50.37</v>
      </c>
      <c r="AM35" s="1">
        <f t="shared" si="22"/>
        <v>-0.78</v>
      </c>
      <c r="AN35" s="1">
        <f t="shared" si="23"/>
        <v>-0.3</v>
      </c>
      <c r="AO35" s="7">
        <f t="shared" si="24"/>
        <v>-0.37</v>
      </c>
      <c r="AP35" s="1" t="b">
        <f t="shared" si="18"/>
        <v>0</v>
      </c>
      <c r="AQ35" s="1" t="b">
        <f t="shared" si="18"/>
        <v>0</v>
      </c>
      <c r="AR35" s="7" t="b">
        <f t="shared" si="19"/>
        <v>0</v>
      </c>
      <c r="AS35" s="1">
        <f t="shared" si="20"/>
        <v>0.48000000000000004</v>
      </c>
      <c r="AT35" s="1">
        <f t="shared" si="20"/>
        <v>0.41000000000000003</v>
      </c>
      <c r="AU35" s="7">
        <f t="shared" si="21"/>
        <v>7.0000000000000007E-2</v>
      </c>
      <c r="AV35" s="1">
        <f>ROUND(IF(B35="NSW",N35*Meta!$B$6,N35),1)</f>
        <v>4032</v>
      </c>
      <c r="AW35" s="7">
        <f t="shared" si="25"/>
        <v>73081</v>
      </c>
    </row>
    <row r="36" spans="1:49" x14ac:dyDescent="0.55000000000000004">
      <c r="A36" s="11" t="s">
        <v>48</v>
      </c>
      <c r="B36" s="7" t="s">
        <v>13</v>
      </c>
      <c r="C36" s="10">
        <v>32.020000000000003</v>
      </c>
      <c r="D36" s="10">
        <v>0</v>
      </c>
      <c r="E36" s="10">
        <v>50.2</v>
      </c>
      <c r="F36" s="10">
        <v>1.89</v>
      </c>
      <c r="G36" s="10">
        <v>3.99</v>
      </c>
      <c r="H36" s="10">
        <v>9.32</v>
      </c>
      <c r="I36" s="10">
        <v>6.57</v>
      </c>
      <c r="J36" s="7">
        <f t="shared" si="4"/>
        <v>4.47</v>
      </c>
      <c r="K36" s="10">
        <v>56.45</v>
      </c>
      <c r="L36" s="7">
        <v>43.55</v>
      </c>
      <c r="M36" s="10">
        <v>80956</v>
      </c>
      <c r="N36" s="10">
        <v>3273</v>
      </c>
      <c r="O36" s="7">
        <f t="shared" si="5"/>
        <v>77683</v>
      </c>
      <c r="P36" s="10">
        <f>ROUND($C36+MIN($D36:$E36)*(1-SUMIFS(PrefFlows!$C:$C,PrefFlows!$A:$A,INDEX($D$1:$E$1,MATCH(MIN($D36:$E36),$D36:$E36,0)),PrefFlows!$B:$B,$B36)),2)</f>
        <v>32.020000000000003</v>
      </c>
      <c r="Q36" s="10">
        <f>ROUND(MAX($D36:$E36)+MIN($D36:$E36)*SUMIFS(PrefFlows!$C:$C,PrefFlows!$A:$A,INDEX($D$1:$E$1,MATCH(MIN($D36:$E36),$D36:$E36,0)),PrefFlows!$B:$B,$B36),2)</f>
        <v>50.2</v>
      </c>
      <c r="R36" s="10">
        <f t="shared" si="6"/>
        <v>3.99</v>
      </c>
      <c r="S36" s="10">
        <f t="shared" si="7"/>
        <v>9.32</v>
      </c>
      <c r="T36" s="7">
        <f t="shared" si="8"/>
        <v>4.47</v>
      </c>
      <c r="U36" s="9">
        <f t="shared" si="9"/>
        <v>18.18</v>
      </c>
      <c r="V36" s="10">
        <f>ROUND($R36*SUMIFS(PrefFlows!$C:$C,PrefFlows!$A:$A,$R$1,PrefFlows!$B:$B,$B36)+$S36*SUMIFS(PrefFlows!$C:$C,PrefFlows!$A:$A,$S$1,PrefFlows!$B:$B,$B36)+$T36*SUMIFS(PrefFlows!$C:$C,PrefFlows!$A:$A,$T$1,PrefFlows!$B:$B,$B36),2)</f>
        <v>6.13</v>
      </c>
      <c r="W36" s="7">
        <f>ROUND($R36*(1-SUMIFS(PrefFlows!$C:$C,PrefFlows!$A:$A,$R$1,PrefFlows!$B:$B,$B36))+$S36*(1-SUMIFS(PrefFlows!$C:$C,PrefFlows!$A:$A,$S$1,PrefFlows!$B:$B,$B36))+$T36*(1-SUMIFS(PrefFlows!$C:$C,PrefFlows!$A:$A,$T$1,PrefFlows!$B:$B,$B36)),2)</f>
        <v>11.65</v>
      </c>
      <c r="X36" s="10">
        <f t="shared" si="10"/>
        <v>6.25</v>
      </c>
      <c r="Y36" s="7">
        <f t="shared" si="11"/>
        <v>11.53</v>
      </c>
      <c r="Z36" s="10">
        <f t="shared" si="12"/>
        <v>0.3448</v>
      </c>
      <c r="AA36" s="10">
        <f t="shared" si="13"/>
        <v>0.35149999999999998</v>
      </c>
      <c r="AB36" s="10">
        <f t="shared" si="14"/>
        <v>6.7000000000000002E-3</v>
      </c>
      <c r="AC36" s="7">
        <v>2.41705724245025E-2</v>
      </c>
      <c r="AD36" s="10">
        <f>ROUND(R36*(1-(Exhaust!$B$2+AC36)),2)</f>
        <v>1.66</v>
      </c>
      <c r="AE36" s="10">
        <f>ROUND(S36*(1-(Exhaust!$B$3+$AC36)),2)</f>
        <v>5.37</v>
      </c>
      <c r="AF36" s="7">
        <f>ROUND(T36*(1-(Exhaust!$B$4+$AC36)),2)</f>
        <v>2.13</v>
      </c>
      <c r="AG36" s="10">
        <f>ROUND($AD36*(SUMIFS(PrefFlows!$C:$C,PrefFlows!$A:$A,$R$1,PrefFlows!$B:$B,$B36)+$AB36)+$AE36*(SUMIFS(PrefFlows!$C:$C,PrefFlows!$A:$A,$S$1,PrefFlows!$B:$B,$B36)+$AB36)+$AF36*(SUMIFS(PrefFlows!$C:$C,PrefFlows!$A:$A,$T$1,PrefFlows!$B:$B,$B36)+$AB36),2)</f>
        <v>3.02</v>
      </c>
      <c r="AH36" s="7">
        <f>ROUND($AD36*(1-(SUMIFS(PrefFlows!$C:$C,PrefFlows!$A:$A,$R$1,PrefFlows!$B:$B,$B36)+$AB36))+$AE36*(1-(SUMIFS(PrefFlows!$C:$C,PrefFlows!$A:$A,$S$1,PrefFlows!$B:$B,$B36)+$AB36))+$AF36*(1-(SUMIFS(PrefFlows!$C:$C,PrefFlows!$A:$A,$T$1,PrefFlows!$B:$B,$B36)+$AB36)),2)</f>
        <v>6.14</v>
      </c>
      <c r="AI36" s="10">
        <f t="shared" si="15"/>
        <v>53.22</v>
      </c>
      <c r="AJ36" s="7">
        <f t="shared" si="16"/>
        <v>38.159999999999997</v>
      </c>
      <c r="AK36" s="10">
        <f t="shared" si="17"/>
        <v>58.24</v>
      </c>
      <c r="AL36" s="7">
        <f t="shared" si="17"/>
        <v>41.76</v>
      </c>
      <c r="AM36" s="1">
        <f t="shared" si="22"/>
        <v>6.45</v>
      </c>
      <c r="AN36" s="1">
        <f t="shared" si="23"/>
        <v>8.44</v>
      </c>
      <c r="AO36" s="7">
        <f t="shared" si="24"/>
        <v>8.24</v>
      </c>
      <c r="AP36" s="1" t="b">
        <f t="shared" si="18"/>
        <v>0</v>
      </c>
      <c r="AQ36" s="1" t="b">
        <f t="shared" si="18"/>
        <v>0</v>
      </c>
      <c r="AR36" s="7" t="b">
        <f t="shared" si="19"/>
        <v>0</v>
      </c>
      <c r="AS36" s="1">
        <f t="shared" si="20"/>
        <v>1.9899999999999993</v>
      </c>
      <c r="AT36" s="1">
        <f t="shared" si="20"/>
        <v>1.79</v>
      </c>
      <c r="AU36" s="7">
        <f t="shared" si="21"/>
        <v>0.19999999999999929</v>
      </c>
      <c r="AV36" s="1">
        <f>ROUND(IF(B36="NSW",N36*Meta!$B$6,N36),1)</f>
        <v>2192.9</v>
      </c>
      <c r="AW36" s="7">
        <f t="shared" si="25"/>
        <v>72746.2</v>
      </c>
    </row>
    <row r="37" spans="1:49" x14ac:dyDescent="0.55000000000000004">
      <c r="A37" s="11" t="s">
        <v>49</v>
      </c>
      <c r="B37" s="7" t="s">
        <v>13</v>
      </c>
      <c r="C37" s="10">
        <v>39.64</v>
      </c>
      <c r="D37" s="10">
        <v>28.82</v>
      </c>
      <c r="E37" s="10">
        <v>0</v>
      </c>
      <c r="F37" s="10">
        <v>0.94</v>
      </c>
      <c r="G37" s="10">
        <v>0</v>
      </c>
      <c r="H37" s="10">
        <v>20.13</v>
      </c>
      <c r="I37" s="10">
        <v>10.47</v>
      </c>
      <c r="J37" s="7">
        <f t="shared" si="4"/>
        <v>11.41</v>
      </c>
      <c r="K37" s="10">
        <v>38.54</v>
      </c>
      <c r="L37" s="7">
        <v>61.46</v>
      </c>
      <c r="M37" s="10">
        <v>78303</v>
      </c>
      <c r="N37" s="10">
        <v>5048</v>
      </c>
      <c r="O37" s="7">
        <f t="shared" si="5"/>
        <v>73255</v>
      </c>
      <c r="P37" s="10">
        <f>ROUND($C37+MIN($D37:$E37)*(1-SUMIFS(PrefFlows!$C:$C,PrefFlows!$A:$A,INDEX($D$1:$E$1,MATCH(MIN($D37:$E37),$D37:$E37,0)),PrefFlows!$B:$B,$B37)),2)</f>
        <v>39.64</v>
      </c>
      <c r="Q37" s="10">
        <f>ROUND(MAX($D37:$E37)+MIN($D37:$E37)*SUMIFS(PrefFlows!$C:$C,PrefFlows!$A:$A,INDEX($D$1:$E$1,MATCH(MIN($D37:$E37),$D37:$E37,0)),PrefFlows!$B:$B,$B37),2)</f>
        <v>28.82</v>
      </c>
      <c r="R37" s="10">
        <f t="shared" si="6"/>
        <v>0</v>
      </c>
      <c r="S37" s="10">
        <f t="shared" si="7"/>
        <v>20.13</v>
      </c>
      <c r="T37" s="7">
        <f t="shared" si="8"/>
        <v>11.41</v>
      </c>
      <c r="U37" s="9">
        <f t="shared" si="9"/>
        <v>-10.82</v>
      </c>
      <c r="V37" s="10">
        <f>ROUND($R37*SUMIFS(PrefFlows!$C:$C,PrefFlows!$A:$A,$R$1,PrefFlows!$B:$B,$B37)+$S37*SUMIFS(PrefFlows!$C:$C,PrefFlows!$A:$A,$S$1,PrefFlows!$B:$B,$B37)+$T37*SUMIFS(PrefFlows!$C:$C,PrefFlows!$A:$A,$T$1,PrefFlows!$B:$B,$B37),2)</f>
        <v>9.5500000000000007</v>
      </c>
      <c r="W37" s="7">
        <f>ROUND($R37*(1-SUMIFS(PrefFlows!$C:$C,PrefFlows!$A:$A,$R$1,PrefFlows!$B:$B,$B37))+$S37*(1-SUMIFS(PrefFlows!$C:$C,PrefFlows!$A:$A,$S$1,PrefFlows!$B:$B,$B37))+$T37*(1-SUMIFS(PrefFlows!$C:$C,PrefFlows!$A:$A,$T$1,PrefFlows!$B:$B,$B37)),2)</f>
        <v>21.99</v>
      </c>
      <c r="X37" s="10">
        <f t="shared" si="10"/>
        <v>9.7200000000000006</v>
      </c>
      <c r="Y37" s="7">
        <f t="shared" si="11"/>
        <v>21.82</v>
      </c>
      <c r="Z37" s="10">
        <f t="shared" si="12"/>
        <v>0.30280000000000001</v>
      </c>
      <c r="AA37" s="10">
        <f t="shared" si="13"/>
        <v>0.30819999999999997</v>
      </c>
      <c r="AB37" s="10">
        <f t="shared" si="14"/>
        <v>5.4000000000000003E-3</v>
      </c>
      <c r="AC37" s="7">
        <v>-8.9276421759145706E-3</v>
      </c>
      <c r="AD37" s="10">
        <f>ROUND(R37*(1-(Exhaust!$B$2+AC37)),2)</f>
        <v>0</v>
      </c>
      <c r="AE37" s="10">
        <f>ROUND(S37*(1-(Exhaust!$B$3+$AC37)),2)</f>
        <v>12.26</v>
      </c>
      <c r="AF37" s="7">
        <f>ROUND(T37*(1-(Exhaust!$B$4+$AC37)),2)</f>
        <v>5.81</v>
      </c>
      <c r="AG37" s="10">
        <f>ROUND($AD37*(SUMIFS(PrefFlows!$C:$C,PrefFlows!$A:$A,$R$1,PrefFlows!$B:$B,$B37)+$AB37)+$AE37*(SUMIFS(PrefFlows!$C:$C,PrefFlows!$A:$A,$S$1,PrefFlows!$B:$B,$B37)+$AB37)+$AF37*(SUMIFS(PrefFlows!$C:$C,PrefFlows!$A:$A,$T$1,PrefFlows!$B:$B,$B37)+$AB37),2)</f>
        <v>5.32</v>
      </c>
      <c r="AH37" s="7">
        <f>ROUND($AD37*(1-(SUMIFS(PrefFlows!$C:$C,PrefFlows!$A:$A,$R$1,PrefFlows!$B:$B,$B37)+$AB37))+$AE37*(1-(SUMIFS(PrefFlows!$C:$C,PrefFlows!$A:$A,$S$1,PrefFlows!$B:$B,$B37)+$AB37))+$AF37*(1-(SUMIFS(PrefFlows!$C:$C,PrefFlows!$A:$A,$T$1,PrefFlows!$B:$B,$B37)+$AB37)),2)</f>
        <v>12.75</v>
      </c>
      <c r="AI37" s="10">
        <f t="shared" si="15"/>
        <v>34.14</v>
      </c>
      <c r="AJ37" s="7">
        <f t="shared" si="16"/>
        <v>52.39</v>
      </c>
      <c r="AK37" s="10">
        <f t="shared" si="17"/>
        <v>39.450000000000003</v>
      </c>
      <c r="AL37" s="7">
        <f t="shared" si="17"/>
        <v>60.55</v>
      </c>
      <c r="AM37" s="1">
        <f t="shared" si="22"/>
        <v>-11.46</v>
      </c>
      <c r="AN37" s="1">
        <f t="shared" si="23"/>
        <v>-10.08</v>
      </c>
      <c r="AO37" s="7">
        <f t="shared" si="24"/>
        <v>-10.55</v>
      </c>
      <c r="AP37" s="1" t="b">
        <f t="shared" si="18"/>
        <v>0</v>
      </c>
      <c r="AQ37" s="1" t="b">
        <f t="shared" si="18"/>
        <v>0</v>
      </c>
      <c r="AR37" s="7" t="b">
        <f t="shared" si="19"/>
        <v>0</v>
      </c>
      <c r="AS37" s="1">
        <f t="shared" si="20"/>
        <v>1.3800000000000008</v>
      </c>
      <c r="AT37" s="1">
        <f t="shared" si="20"/>
        <v>0.91000000000000014</v>
      </c>
      <c r="AU37" s="7">
        <f t="shared" si="21"/>
        <v>0.47000000000000064</v>
      </c>
      <c r="AV37" s="1">
        <f>ROUND(IF(B37="NSW",N37*Meta!$B$6,N37),1)</f>
        <v>3382.2</v>
      </c>
      <c r="AW37" s="7">
        <f t="shared" si="25"/>
        <v>65957.2</v>
      </c>
    </row>
    <row r="38" spans="1:49" x14ac:dyDescent="0.55000000000000004">
      <c r="A38" s="11" t="s">
        <v>50</v>
      </c>
      <c r="B38" s="7" t="s">
        <v>31</v>
      </c>
      <c r="C38" s="10">
        <v>23.75</v>
      </c>
      <c r="D38" s="10">
        <v>59.59</v>
      </c>
      <c r="E38" s="10">
        <v>0</v>
      </c>
      <c r="F38" s="10">
        <v>2.23</v>
      </c>
      <c r="G38" s="10">
        <v>0.98</v>
      </c>
      <c r="H38" s="10">
        <v>11.48</v>
      </c>
      <c r="I38" s="10">
        <v>2.95</v>
      </c>
      <c r="J38" s="7">
        <f t="shared" si="4"/>
        <v>4.2</v>
      </c>
      <c r="K38" s="10">
        <v>64.62</v>
      </c>
      <c r="L38" s="7">
        <v>35.380000000000003</v>
      </c>
      <c r="M38" s="10">
        <v>78418</v>
      </c>
      <c r="N38" s="10">
        <v>2760</v>
      </c>
      <c r="O38" s="7">
        <f t="shared" si="5"/>
        <v>75658</v>
      </c>
      <c r="P38" s="10">
        <f>ROUND($C38+MIN($D38:$E38)*(1-SUMIFS(PrefFlows!$C:$C,PrefFlows!$A:$A,INDEX($D$1:$E$1,MATCH(MIN($D38:$E38),$D38:$E38,0)),PrefFlows!$B:$B,$B38)),2)</f>
        <v>23.75</v>
      </c>
      <c r="Q38" s="10">
        <f>ROUND(MAX($D38:$E38)+MIN($D38:$E38)*SUMIFS(PrefFlows!$C:$C,PrefFlows!$A:$A,INDEX($D$1:$E$1,MATCH(MIN($D38:$E38),$D38:$E38,0)),PrefFlows!$B:$B,$B38),2)</f>
        <v>59.59</v>
      </c>
      <c r="R38" s="10">
        <f t="shared" si="6"/>
        <v>0.98</v>
      </c>
      <c r="S38" s="10">
        <f t="shared" si="7"/>
        <v>11.48</v>
      </c>
      <c r="T38" s="7">
        <f t="shared" si="8"/>
        <v>4.2</v>
      </c>
      <c r="U38" s="9">
        <f t="shared" si="9"/>
        <v>35.840000000000003</v>
      </c>
      <c r="V38" s="10">
        <f>ROUND($R38*SUMIFS(PrefFlows!$C:$C,PrefFlows!$A:$A,$R$1,PrefFlows!$B:$B,$B38)+$S38*SUMIFS(PrefFlows!$C:$C,PrefFlows!$A:$A,$S$1,PrefFlows!$B:$B,$B38)+$T38*SUMIFS(PrefFlows!$C:$C,PrefFlows!$A:$A,$T$1,PrefFlows!$B:$B,$B38),2)</f>
        <v>5.33</v>
      </c>
      <c r="W38" s="7">
        <f>ROUND($R38*(1-SUMIFS(PrefFlows!$C:$C,PrefFlows!$A:$A,$R$1,PrefFlows!$B:$B,$B38))+$S38*(1-SUMIFS(PrefFlows!$C:$C,PrefFlows!$A:$A,$S$1,PrefFlows!$B:$B,$B38))+$T38*(1-SUMIFS(PrefFlows!$C:$C,PrefFlows!$A:$A,$T$1,PrefFlows!$B:$B,$B38)),2)</f>
        <v>11.33</v>
      </c>
      <c r="X38" s="10">
        <f t="shared" si="10"/>
        <v>5.03</v>
      </c>
      <c r="Y38" s="7">
        <f t="shared" si="11"/>
        <v>11.63</v>
      </c>
      <c r="Z38" s="10">
        <f t="shared" si="12"/>
        <v>0.31990000000000002</v>
      </c>
      <c r="AA38" s="10">
        <f t="shared" si="13"/>
        <v>0.3019</v>
      </c>
      <c r="AB38" s="10">
        <f t="shared" si="14"/>
        <v>-1.7999999999999999E-2</v>
      </c>
      <c r="AC38" s="7">
        <v>-3.8609717895521402E-2</v>
      </c>
      <c r="AD38" s="10">
        <f>ROUND(R38*(1-(Exhaust!$B$2+AC38)),2)</f>
        <v>0.47</v>
      </c>
      <c r="AE38" s="10">
        <f>ROUND(S38*(1-(Exhaust!$B$3+$AC38)),2)</f>
        <v>7.33</v>
      </c>
      <c r="AF38" s="7">
        <f>ROUND(T38*(1-(Exhaust!$B$4+$AC38)),2)</f>
        <v>2.2599999999999998</v>
      </c>
      <c r="AG38" s="10">
        <f>ROUND($AD38*(SUMIFS(PrefFlows!$C:$C,PrefFlows!$A:$A,$R$1,PrefFlows!$B:$B,$B38)+$AB38)+$AE38*(SUMIFS(PrefFlows!$C:$C,PrefFlows!$A:$A,$S$1,PrefFlows!$B:$B,$B38)+$AB38)+$AF38*(SUMIFS(PrefFlows!$C:$C,PrefFlows!$A:$A,$T$1,PrefFlows!$B:$B,$B38)+$AB38),2)</f>
        <v>2.92</v>
      </c>
      <c r="AH38" s="7">
        <f>ROUND($AD38*(1-(SUMIFS(PrefFlows!$C:$C,PrefFlows!$A:$A,$R$1,PrefFlows!$B:$B,$B38)+$AB38))+$AE38*(1-(SUMIFS(PrefFlows!$C:$C,PrefFlows!$A:$A,$S$1,PrefFlows!$B:$B,$B38)+$AB38))+$AF38*(1-(SUMIFS(PrefFlows!$C:$C,PrefFlows!$A:$A,$T$1,PrefFlows!$B:$B,$B38)+$AB38)),2)</f>
        <v>7.14</v>
      </c>
      <c r="AI38" s="10">
        <f t="shared" si="15"/>
        <v>62.51</v>
      </c>
      <c r="AJ38" s="7">
        <f t="shared" si="16"/>
        <v>30.89</v>
      </c>
      <c r="AK38" s="10">
        <f t="shared" si="17"/>
        <v>66.930000000000007</v>
      </c>
      <c r="AL38" s="7">
        <f t="shared" si="17"/>
        <v>33.07</v>
      </c>
      <c r="AM38" s="1">
        <f t="shared" si="22"/>
        <v>14.62</v>
      </c>
      <c r="AN38" s="1">
        <f t="shared" si="23"/>
        <v>17.61</v>
      </c>
      <c r="AO38" s="7">
        <f t="shared" si="24"/>
        <v>16.93</v>
      </c>
      <c r="AP38" s="1" t="b">
        <f t="shared" si="18"/>
        <v>0</v>
      </c>
      <c r="AQ38" s="1" t="b">
        <f t="shared" si="18"/>
        <v>0</v>
      </c>
      <c r="AR38" s="7" t="b">
        <f t="shared" si="19"/>
        <v>0</v>
      </c>
      <c r="AS38" s="1">
        <f t="shared" si="20"/>
        <v>2.99</v>
      </c>
      <c r="AT38" s="1">
        <f t="shared" si="20"/>
        <v>2.3100000000000005</v>
      </c>
      <c r="AU38" s="7">
        <f t="shared" si="21"/>
        <v>0.67999999999999972</v>
      </c>
      <c r="AV38" s="1">
        <f>ROUND(IF(B38="NSW",N38*Meta!$B$6,N38),1)</f>
        <v>2760</v>
      </c>
      <c r="AW38" s="7">
        <f t="shared" si="25"/>
        <v>71658.399999999994</v>
      </c>
    </row>
    <row r="39" spans="1:49" x14ac:dyDescent="0.55000000000000004">
      <c r="A39" s="11" t="s">
        <v>51</v>
      </c>
      <c r="B39" s="7" t="s">
        <v>23</v>
      </c>
      <c r="C39" s="10">
        <v>31.32</v>
      </c>
      <c r="D39" s="10">
        <v>0</v>
      </c>
      <c r="E39" s="10">
        <v>48.16</v>
      </c>
      <c r="F39" s="10">
        <v>0.84</v>
      </c>
      <c r="G39" s="10">
        <v>3.14</v>
      </c>
      <c r="H39" s="10">
        <v>3.19</v>
      </c>
      <c r="I39" s="10">
        <v>16.489999999999998</v>
      </c>
      <c r="J39" s="7">
        <f t="shared" si="4"/>
        <v>14.19</v>
      </c>
      <c r="K39" s="10">
        <v>60.38</v>
      </c>
      <c r="L39" s="7">
        <v>39.619999999999997</v>
      </c>
      <c r="M39" s="10">
        <v>86502</v>
      </c>
      <c r="N39" s="10">
        <v>4683</v>
      </c>
      <c r="O39" s="7">
        <f t="shared" si="5"/>
        <v>81819</v>
      </c>
      <c r="P39" s="10">
        <f>ROUND($C39+MIN($D39:$E39)*(1-SUMIFS(PrefFlows!$C:$C,PrefFlows!$A:$A,INDEX($D$1:$E$1,MATCH(MIN($D39:$E39),$D39:$E39,0)),PrefFlows!$B:$B,$B39)),2)</f>
        <v>31.32</v>
      </c>
      <c r="Q39" s="10">
        <f>ROUND(MAX($D39:$E39)+MIN($D39:$E39)*SUMIFS(PrefFlows!$C:$C,PrefFlows!$A:$A,INDEX($D$1:$E$1,MATCH(MIN($D39:$E39),$D39:$E39,0)),PrefFlows!$B:$B,$B39),2)</f>
        <v>48.16</v>
      </c>
      <c r="R39" s="10">
        <f t="shared" si="6"/>
        <v>3.14</v>
      </c>
      <c r="S39" s="10">
        <f t="shared" si="7"/>
        <v>3.19</v>
      </c>
      <c r="T39" s="7">
        <f t="shared" si="8"/>
        <v>14.19</v>
      </c>
      <c r="U39" s="9">
        <f t="shared" si="9"/>
        <v>16.84</v>
      </c>
      <c r="V39" s="10">
        <f>ROUND($R39*SUMIFS(PrefFlows!$C:$C,PrefFlows!$A:$A,$R$1,PrefFlows!$B:$B,$B39)+$S39*SUMIFS(PrefFlows!$C:$C,PrefFlows!$A:$A,$S$1,PrefFlows!$B:$B,$B39)+$T39*SUMIFS(PrefFlows!$C:$C,PrefFlows!$A:$A,$T$1,PrefFlows!$B:$B,$B39),2)</f>
        <v>9.8800000000000008</v>
      </c>
      <c r="W39" s="7">
        <f>ROUND($R39*(1-SUMIFS(PrefFlows!$C:$C,PrefFlows!$A:$A,$R$1,PrefFlows!$B:$B,$B39))+$S39*(1-SUMIFS(PrefFlows!$C:$C,PrefFlows!$A:$A,$S$1,PrefFlows!$B:$B,$B39))+$T39*(1-SUMIFS(PrefFlows!$C:$C,PrefFlows!$A:$A,$T$1,PrefFlows!$B:$B,$B39)),2)</f>
        <v>10.64</v>
      </c>
      <c r="X39" s="10">
        <f t="shared" si="10"/>
        <v>12.22</v>
      </c>
      <c r="Y39" s="7">
        <f t="shared" si="11"/>
        <v>8.3000000000000007</v>
      </c>
      <c r="Z39" s="10">
        <f t="shared" si="12"/>
        <v>0.48149999999999998</v>
      </c>
      <c r="AA39" s="10">
        <f t="shared" si="13"/>
        <v>0.59550000000000003</v>
      </c>
      <c r="AB39" s="10">
        <f t="shared" si="14"/>
        <v>0.114</v>
      </c>
      <c r="AC39" s="7">
        <v>5.96337853107455E-2</v>
      </c>
      <c r="AD39" s="10">
        <f>ROUND(R39*(1-(Exhaust!$B$2+AC39)),2)</f>
        <v>1.19</v>
      </c>
      <c r="AE39" s="10">
        <f>ROUND(S39*(1-(Exhaust!$B$3+$AC39)),2)</f>
        <v>1.72</v>
      </c>
      <c r="AF39" s="7">
        <f>ROUND(T39*(1-(Exhaust!$B$4+$AC39)),2)</f>
        <v>6.25</v>
      </c>
      <c r="AG39" s="10">
        <f>ROUND($AD39*(SUMIFS(PrefFlows!$C:$C,PrefFlows!$A:$A,$R$1,PrefFlows!$B:$B,$B39)+$AB39)+$AE39*(SUMIFS(PrefFlows!$C:$C,PrefFlows!$A:$A,$S$1,PrefFlows!$B:$B,$B39)+$AB39)+$AF39*(SUMIFS(PrefFlows!$C:$C,PrefFlows!$A:$A,$T$1,PrefFlows!$B:$B,$B39)+$AB39),2)</f>
        <v>5.36</v>
      </c>
      <c r="AH39" s="7">
        <f>ROUND($AD39*(1-(SUMIFS(PrefFlows!$C:$C,PrefFlows!$A:$A,$R$1,PrefFlows!$B:$B,$B39)+$AB39))+$AE39*(1-(SUMIFS(PrefFlows!$C:$C,PrefFlows!$A:$A,$S$1,PrefFlows!$B:$B,$B39)+$AB39))+$AF39*(1-(SUMIFS(PrefFlows!$C:$C,PrefFlows!$A:$A,$T$1,PrefFlows!$B:$B,$B39)+$AB39)),2)</f>
        <v>3.8</v>
      </c>
      <c r="AI39" s="10">
        <f t="shared" si="15"/>
        <v>53.52</v>
      </c>
      <c r="AJ39" s="7">
        <f t="shared" si="16"/>
        <v>35.119999999999997</v>
      </c>
      <c r="AK39" s="10">
        <f t="shared" si="17"/>
        <v>60.38</v>
      </c>
      <c r="AL39" s="7">
        <f t="shared" si="17"/>
        <v>39.619999999999997</v>
      </c>
      <c r="AM39" s="1">
        <f t="shared" si="22"/>
        <v>10.38</v>
      </c>
      <c r="AN39" s="1">
        <f t="shared" si="23"/>
        <v>10.47</v>
      </c>
      <c r="AO39" s="7">
        <f t="shared" si="24"/>
        <v>10.38</v>
      </c>
      <c r="AP39" s="1" t="b">
        <f t="shared" si="18"/>
        <v>0</v>
      </c>
      <c r="AQ39" s="1" t="b">
        <f t="shared" si="18"/>
        <v>0</v>
      </c>
      <c r="AR39" s="7" t="b">
        <f t="shared" si="19"/>
        <v>0</v>
      </c>
      <c r="AS39" s="1">
        <f t="shared" si="20"/>
        <v>8.9999999999999858E-2</v>
      </c>
      <c r="AT39" s="1">
        <f t="shared" si="20"/>
        <v>0</v>
      </c>
      <c r="AU39" s="7">
        <f t="shared" si="21"/>
        <v>8.9999999999999858E-2</v>
      </c>
      <c r="AV39" s="1">
        <f>ROUND(IF(B39="NSW",N39*Meta!$B$6,N39),1)</f>
        <v>4683</v>
      </c>
      <c r="AW39" s="7">
        <f t="shared" si="25"/>
        <v>74124.600000000006</v>
      </c>
    </row>
    <row r="40" spans="1:49" x14ac:dyDescent="0.55000000000000004">
      <c r="A40" s="11" t="s">
        <v>52</v>
      </c>
      <c r="B40" s="7" t="s">
        <v>10</v>
      </c>
      <c r="C40" s="10">
        <v>36.15</v>
      </c>
      <c r="D40" s="10">
        <v>50.59</v>
      </c>
      <c r="E40" s="10">
        <v>0</v>
      </c>
      <c r="F40" s="10">
        <v>1.97</v>
      </c>
      <c r="G40" s="10">
        <v>0</v>
      </c>
      <c r="H40" s="10">
        <v>7.86</v>
      </c>
      <c r="I40" s="10">
        <v>3.43</v>
      </c>
      <c r="J40" s="7">
        <f t="shared" si="4"/>
        <v>5.4</v>
      </c>
      <c r="K40" s="10">
        <v>54.97</v>
      </c>
      <c r="L40" s="7">
        <v>45.03</v>
      </c>
      <c r="M40" s="10">
        <v>83438</v>
      </c>
      <c r="N40" s="10">
        <v>2554</v>
      </c>
      <c r="O40" s="7">
        <f t="shared" si="5"/>
        <v>80884</v>
      </c>
      <c r="P40" s="10">
        <f>ROUND($C40+MIN($D40:$E40)*(1-SUMIFS(PrefFlows!$C:$C,PrefFlows!$A:$A,INDEX($D$1:$E$1,MATCH(MIN($D40:$E40),$D40:$E40,0)),PrefFlows!$B:$B,$B40)),2)</f>
        <v>36.15</v>
      </c>
      <c r="Q40" s="10">
        <f>ROUND(MAX($D40:$E40)+MIN($D40:$E40)*SUMIFS(PrefFlows!$C:$C,PrefFlows!$A:$A,INDEX($D$1:$E$1,MATCH(MIN($D40:$E40),$D40:$E40,0)),PrefFlows!$B:$B,$B40),2)</f>
        <v>50.59</v>
      </c>
      <c r="R40" s="10">
        <f t="shared" si="6"/>
        <v>0</v>
      </c>
      <c r="S40" s="10">
        <f t="shared" si="7"/>
        <v>7.86</v>
      </c>
      <c r="T40" s="7">
        <f t="shared" si="8"/>
        <v>5.4</v>
      </c>
      <c r="U40" s="9">
        <f t="shared" si="9"/>
        <v>14.44</v>
      </c>
      <c r="V40" s="10">
        <f>ROUND($R40*SUMIFS(PrefFlows!$C:$C,PrefFlows!$A:$A,$R$1,PrefFlows!$B:$B,$B40)+$S40*SUMIFS(PrefFlows!$C:$C,PrefFlows!$A:$A,$S$1,PrefFlows!$B:$B,$B40)+$T40*SUMIFS(PrefFlows!$C:$C,PrefFlows!$A:$A,$T$1,PrefFlows!$B:$B,$B40),2)</f>
        <v>4.16</v>
      </c>
      <c r="W40" s="7">
        <f>ROUND($R40*(1-SUMIFS(PrefFlows!$C:$C,PrefFlows!$A:$A,$R$1,PrefFlows!$B:$B,$B40))+$S40*(1-SUMIFS(PrefFlows!$C:$C,PrefFlows!$A:$A,$S$1,PrefFlows!$B:$B,$B40))+$T40*(1-SUMIFS(PrefFlows!$C:$C,PrefFlows!$A:$A,$T$1,PrefFlows!$B:$B,$B40)),2)</f>
        <v>9.1</v>
      </c>
      <c r="X40" s="10">
        <f t="shared" si="10"/>
        <v>4.38</v>
      </c>
      <c r="Y40" s="7">
        <f t="shared" si="11"/>
        <v>8.8800000000000008</v>
      </c>
      <c r="Z40" s="10">
        <f t="shared" si="12"/>
        <v>0.31369999999999998</v>
      </c>
      <c r="AA40" s="10">
        <f t="shared" si="13"/>
        <v>0.33029999999999998</v>
      </c>
      <c r="AB40" s="10">
        <f t="shared" si="14"/>
        <v>1.66E-2</v>
      </c>
      <c r="AC40" s="7">
        <v>-9.5091171212100395E-2</v>
      </c>
      <c r="AD40" s="10">
        <f>ROUND(R40*(1-(Exhaust!$B$2+AC40)),2)</f>
        <v>0</v>
      </c>
      <c r="AE40" s="10">
        <f>ROUND(S40*(1-(Exhaust!$B$3+$AC40)),2)</f>
        <v>5.46</v>
      </c>
      <c r="AF40" s="7">
        <f>ROUND(T40*(1-(Exhaust!$B$4+$AC40)),2)</f>
        <v>3.21</v>
      </c>
      <c r="AG40" s="10">
        <f>ROUND($AD40*(SUMIFS(PrefFlows!$C:$C,PrefFlows!$A:$A,$R$1,PrefFlows!$B:$B,$B40)+$AB40)+$AE40*(SUMIFS(PrefFlows!$C:$C,PrefFlows!$A:$A,$S$1,PrefFlows!$B:$B,$B40)+$AB40)+$AF40*(SUMIFS(PrefFlows!$C:$C,PrefFlows!$A:$A,$T$1,PrefFlows!$B:$B,$B40)+$AB40),2)</f>
        <v>2.75</v>
      </c>
      <c r="AH40" s="7">
        <f>ROUND($AD40*(1-(SUMIFS(PrefFlows!$C:$C,PrefFlows!$A:$A,$R$1,PrefFlows!$B:$B,$B40)+$AB40))+$AE40*(1-(SUMIFS(PrefFlows!$C:$C,PrefFlows!$A:$A,$S$1,PrefFlows!$B:$B,$B40)+$AB40))+$AF40*(1-(SUMIFS(PrefFlows!$C:$C,PrefFlows!$A:$A,$T$1,PrefFlows!$B:$B,$B40)+$AB40)),2)</f>
        <v>5.92</v>
      </c>
      <c r="AI40" s="10">
        <f t="shared" si="15"/>
        <v>53.34</v>
      </c>
      <c r="AJ40" s="7">
        <f t="shared" si="16"/>
        <v>42.07</v>
      </c>
      <c r="AK40" s="10">
        <f t="shared" si="17"/>
        <v>55.91</v>
      </c>
      <c r="AL40" s="7">
        <f t="shared" si="17"/>
        <v>44.09</v>
      </c>
      <c r="AM40" s="1">
        <f t="shared" si="22"/>
        <v>4.97</v>
      </c>
      <c r="AN40" s="1">
        <f t="shared" si="23"/>
        <v>6.46</v>
      </c>
      <c r="AO40" s="7">
        <f t="shared" si="24"/>
        <v>5.91</v>
      </c>
      <c r="AP40" s="1" t="b">
        <f t="shared" si="18"/>
        <v>0</v>
      </c>
      <c r="AQ40" s="1" t="b">
        <f t="shared" si="18"/>
        <v>0</v>
      </c>
      <c r="AR40" s="7" t="b">
        <f t="shared" si="19"/>
        <v>0</v>
      </c>
      <c r="AS40" s="1">
        <f t="shared" si="20"/>
        <v>1.4900000000000002</v>
      </c>
      <c r="AT40" s="1">
        <f t="shared" si="20"/>
        <v>0.94000000000000039</v>
      </c>
      <c r="AU40" s="7">
        <f t="shared" si="21"/>
        <v>0.54999999999999982</v>
      </c>
      <c r="AV40" s="1">
        <f>ROUND(IF(B40="NSW",N40*Meta!$B$6,N40),1)</f>
        <v>2554</v>
      </c>
      <c r="AW40" s="7">
        <f t="shared" si="25"/>
        <v>78110.8</v>
      </c>
    </row>
    <row r="41" spans="1:49" x14ac:dyDescent="0.55000000000000004">
      <c r="A41" s="11" t="s">
        <v>53</v>
      </c>
      <c r="B41" s="7" t="s">
        <v>17</v>
      </c>
      <c r="C41" s="10">
        <v>49.51</v>
      </c>
      <c r="D41" s="10">
        <v>32.56</v>
      </c>
      <c r="E41" s="10">
        <v>0</v>
      </c>
      <c r="F41" s="10">
        <v>0</v>
      </c>
      <c r="G41" s="10">
        <v>0</v>
      </c>
      <c r="H41" s="10">
        <v>14.6</v>
      </c>
      <c r="I41" s="10">
        <v>3.33</v>
      </c>
      <c r="J41" s="7">
        <f t="shared" si="4"/>
        <v>3.33</v>
      </c>
      <c r="K41" s="10">
        <v>36.71</v>
      </c>
      <c r="L41" s="7">
        <v>63.29</v>
      </c>
      <c r="M41" s="10">
        <v>65869</v>
      </c>
      <c r="N41" s="10">
        <v>2045</v>
      </c>
      <c r="O41" s="7">
        <f t="shared" si="5"/>
        <v>63824</v>
      </c>
      <c r="P41" s="10">
        <f>ROUND($C41+MIN($D41:$E41)*(1-SUMIFS(PrefFlows!$C:$C,PrefFlows!$A:$A,INDEX($D$1:$E$1,MATCH(MIN($D41:$E41),$D41:$E41,0)),PrefFlows!$B:$B,$B41)),2)</f>
        <v>49.51</v>
      </c>
      <c r="Q41" s="10">
        <f>ROUND(MAX($D41:$E41)+MIN($D41:$E41)*SUMIFS(PrefFlows!$C:$C,PrefFlows!$A:$A,INDEX($D$1:$E$1,MATCH(MIN($D41:$E41),$D41:$E41,0)),PrefFlows!$B:$B,$B41),2)</f>
        <v>32.56</v>
      </c>
      <c r="R41" s="10">
        <f t="shared" si="6"/>
        <v>0</v>
      </c>
      <c r="S41" s="10">
        <f t="shared" si="7"/>
        <v>14.6</v>
      </c>
      <c r="T41" s="7">
        <f t="shared" si="8"/>
        <v>3.33</v>
      </c>
      <c r="U41" s="9">
        <f t="shared" si="9"/>
        <v>-16.95</v>
      </c>
      <c r="V41" s="10">
        <f>ROUND($R41*SUMIFS(PrefFlows!$C:$C,PrefFlows!$A:$A,$R$1,PrefFlows!$B:$B,$B41)+$S41*SUMIFS(PrefFlows!$C:$C,PrefFlows!$A:$A,$S$1,PrefFlows!$B:$B,$B41)+$T41*SUMIFS(PrefFlows!$C:$C,PrefFlows!$A:$A,$T$1,PrefFlows!$B:$B,$B41),2)</f>
        <v>4.59</v>
      </c>
      <c r="W41" s="7">
        <f>ROUND($R41*(1-SUMIFS(PrefFlows!$C:$C,PrefFlows!$A:$A,$R$1,PrefFlows!$B:$B,$B41))+$S41*(1-SUMIFS(PrefFlows!$C:$C,PrefFlows!$A:$A,$S$1,PrefFlows!$B:$B,$B41))+$T41*(1-SUMIFS(PrefFlows!$C:$C,PrefFlows!$A:$A,$T$1,PrefFlows!$B:$B,$B41)),2)</f>
        <v>13.34</v>
      </c>
      <c r="X41" s="10">
        <f t="shared" si="10"/>
        <v>4.1500000000000004</v>
      </c>
      <c r="Y41" s="7">
        <f t="shared" si="11"/>
        <v>13.78</v>
      </c>
      <c r="Z41" s="10">
        <f t="shared" si="12"/>
        <v>0.25600000000000001</v>
      </c>
      <c r="AA41" s="10">
        <f t="shared" si="13"/>
        <v>0.23150000000000001</v>
      </c>
      <c r="AB41" s="10">
        <f t="shared" si="14"/>
        <v>-2.4500000000000001E-2</v>
      </c>
      <c r="AC41" s="7">
        <v>-3.5169352876378103E-2</v>
      </c>
      <c r="AD41" s="10">
        <f>ROUND(R41*(1-(Exhaust!$B$2+AC41)),2)</f>
        <v>0</v>
      </c>
      <c r="AE41" s="10">
        <f>ROUND(S41*(1-(Exhaust!$B$3+$AC41)),2)</f>
        <v>9.27</v>
      </c>
      <c r="AF41" s="7">
        <f>ROUND(T41*(1-(Exhaust!$B$4+$AC41)),2)</f>
        <v>1.78</v>
      </c>
      <c r="AG41" s="10">
        <f>ROUND($AD41*(SUMIFS(PrefFlows!$C:$C,PrefFlows!$A:$A,$R$1,PrefFlows!$B:$B,$B41)+$AB41)+$AE41*(SUMIFS(PrefFlows!$C:$C,PrefFlows!$A:$A,$S$1,PrefFlows!$B:$B,$B41)+$AB41)+$AF41*(SUMIFS(PrefFlows!$C:$C,PrefFlows!$A:$A,$T$1,PrefFlows!$B:$B,$B41)+$AB41),2)</f>
        <v>2.46</v>
      </c>
      <c r="AH41" s="7">
        <f>ROUND($AD41*(1-(SUMIFS(PrefFlows!$C:$C,PrefFlows!$A:$A,$R$1,PrefFlows!$B:$B,$B41)+$AB41))+$AE41*(1-(SUMIFS(PrefFlows!$C:$C,PrefFlows!$A:$A,$S$1,PrefFlows!$B:$B,$B41)+$AB41))+$AF41*(1-(SUMIFS(PrefFlows!$C:$C,PrefFlows!$A:$A,$T$1,PrefFlows!$B:$B,$B41)+$AB41)),2)</f>
        <v>8.59</v>
      </c>
      <c r="AI41" s="10">
        <f t="shared" si="15"/>
        <v>35.020000000000003</v>
      </c>
      <c r="AJ41" s="7">
        <f t="shared" si="16"/>
        <v>58.1</v>
      </c>
      <c r="AK41" s="10">
        <f t="shared" si="17"/>
        <v>37.61</v>
      </c>
      <c r="AL41" s="7">
        <f t="shared" si="17"/>
        <v>62.39</v>
      </c>
      <c r="AM41" s="1">
        <f t="shared" si="22"/>
        <v>-13.29</v>
      </c>
      <c r="AN41" s="1">
        <f t="shared" si="23"/>
        <v>-12.01</v>
      </c>
      <c r="AO41" s="7">
        <f t="shared" si="24"/>
        <v>-12.39</v>
      </c>
      <c r="AP41" s="1" t="b">
        <f t="shared" si="18"/>
        <v>0</v>
      </c>
      <c r="AQ41" s="1" t="b">
        <f t="shared" si="18"/>
        <v>0</v>
      </c>
      <c r="AR41" s="7" t="b">
        <f t="shared" si="19"/>
        <v>0</v>
      </c>
      <c r="AS41" s="1">
        <f t="shared" si="20"/>
        <v>1.2799999999999994</v>
      </c>
      <c r="AT41" s="1">
        <f t="shared" si="20"/>
        <v>0.89999999999999858</v>
      </c>
      <c r="AU41" s="7">
        <f t="shared" si="21"/>
        <v>0.38000000000000078</v>
      </c>
      <c r="AV41" s="1">
        <f>ROUND(IF(B41="NSW",N41*Meta!$B$6,N41),1)</f>
        <v>2045</v>
      </c>
      <c r="AW41" s="7">
        <f t="shared" si="25"/>
        <v>60167</v>
      </c>
    </row>
    <row r="42" spans="1:49" x14ac:dyDescent="0.55000000000000004">
      <c r="A42" s="11" t="s">
        <v>54</v>
      </c>
      <c r="B42" s="7" t="s">
        <v>23</v>
      </c>
      <c r="C42" s="10">
        <v>35.369999999999997</v>
      </c>
      <c r="D42" s="10">
        <v>52.09</v>
      </c>
      <c r="E42" s="10">
        <v>0</v>
      </c>
      <c r="F42" s="10">
        <v>1.66</v>
      </c>
      <c r="G42" s="10">
        <v>0</v>
      </c>
      <c r="H42" s="10">
        <v>5.87</v>
      </c>
      <c r="I42" s="10">
        <v>5.01</v>
      </c>
      <c r="J42" s="7">
        <f t="shared" si="4"/>
        <v>6.67</v>
      </c>
      <c r="K42" s="10">
        <v>57.83</v>
      </c>
      <c r="L42" s="7">
        <v>42.17</v>
      </c>
      <c r="M42" s="10">
        <v>80112</v>
      </c>
      <c r="N42" s="10">
        <v>3684</v>
      </c>
      <c r="O42" s="7">
        <f t="shared" si="5"/>
        <v>76428</v>
      </c>
      <c r="P42" s="10">
        <f>ROUND($C42+MIN($D42:$E42)*(1-SUMIFS(PrefFlows!$C:$C,PrefFlows!$A:$A,INDEX($D$1:$E$1,MATCH(MIN($D42:$E42),$D42:$E42,0)),PrefFlows!$B:$B,$B42)),2)</f>
        <v>35.369999999999997</v>
      </c>
      <c r="Q42" s="10">
        <f>ROUND(MAX($D42:$E42)+MIN($D42:$E42)*SUMIFS(PrefFlows!$C:$C,PrefFlows!$A:$A,INDEX($D$1:$E$1,MATCH(MIN($D42:$E42),$D42:$E42,0)),PrefFlows!$B:$B,$B42),2)</f>
        <v>52.09</v>
      </c>
      <c r="R42" s="10">
        <f t="shared" si="6"/>
        <v>0</v>
      </c>
      <c r="S42" s="10">
        <f t="shared" si="7"/>
        <v>5.87</v>
      </c>
      <c r="T42" s="7">
        <f t="shared" si="8"/>
        <v>6.67</v>
      </c>
      <c r="U42" s="9">
        <f t="shared" si="9"/>
        <v>16.72</v>
      </c>
      <c r="V42" s="10">
        <f>ROUND($R42*SUMIFS(PrefFlows!$C:$C,PrefFlows!$A:$A,$R$1,PrefFlows!$B:$B,$B42)+$S42*SUMIFS(PrefFlows!$C:$C,PrefFlows!$A:$A,$S$1,PrefFlows!$B:$B,$B42)+$T42*SUMIFS(PrefFlows!$C:$C,PrefFlows!$A:$A,$T$1,PrefFlows!$B:$B,$B42),2)</f>
        <v>4.8600000000000003</v>
      </c>
      <c r="W42" s="7">
        <f>ROUND($R42*(1-SUMIFS(PrefFlows!$C:$C,PrefFlows!$A:$A,$R$1,PrefFlows!$B:$B,$B42))+$S42*(1-SUMIFS(PrefFlows!$C:$C,PrefFlows!$A:$A,$S$1,PrefFlows!$B:$B,$B42))+$T42*(1-SUMIFS(PrefFlows!$C:$C,PrefFlows!$A:$A,$T$1,PrefFlows!$B:$B,$B42)),2)</f>
        <v>7.68</v>
      </c>
      <c r="X42" s="10">
        <f t="shared" si="10"/>
        <v>5.74</v>
      </c>
      <c r="Y42" s="7">
        <f t="shared" si="11"/>
        <v>6.8</v>
      </c>
      <c r="Z42" s="10">
        <f t="shared" si="12"/>
        <v>0.3876</v>
      </c>
      <c r="AA42" s="10">
        <f t="shared" si="13"/>
        <v>0.4577</v>
      </c>
      <c r="AB42" s="10">
        <f t="shared" si="14"/>
        <v>7.0099999999999996E-2</v>
      </c>
      <c r="AC42" s="7">
        <v>-1.39266230146284E-3</v>
      </c>
      <c r="AD42" s="10">
        <f>ROUND(R42*(1-(Exhaust!$B$2+AC42)),2)</f>
        <v>0</v>
      </c>
      <c r="AE42" s="10">
        <f>ROUND(S42*(1-(Exhaust!$B$3+$AC42)),2)</f>
        <v>3.53</v>
      </c>
      <c r="AF42" s="7">
        <f>ROUND(T42*(1-(Exhaust!$B$4+$AC42)),2)</f>
        <v>3.34</v>
      </c>
      <c r="AG42" s="10">
        <f>ROUND($AD42*(SUMIFS(PrefFlows!$C:$C,PrefFlows!$A:$A,$R$1,PrefFlows!$B:$B,$B42)+$AB42)+$AE42*(SUMIFS(PrefFlows!$C:$C,PrefFlows!$A:$A,$S$1,PrefFlows!$B:$B,$B42)+$AB42)+$AF42*(SUMIFS(PrefFlows!$C:$C,PrefFlows!$A:$A,$T$1,PrefFlows!$B:$B,$B42)+$AB42),2)</f>
        <v>3.06</v>
      </c>
      <c r="AH42" s="7">
        <f>ROUND($AD42*(1-(SUMIFS(PrefFlows!$C:$C,PrefFlows!$A:$A,$R$1,PrefFlows!$B:$B,$B42)+$AB42))+$AE42*(1-(SUMIFS(PrefFlows!$C:$C,PrefFlows!$A:$A,$S$1,PrefFlows!$B:$B,$B42)+$AB42))+$AF42*(1-(SUMIFS(PrefFlows!$C:$C,PrefFlows!$A:$A,$T$1,PrefFlows!$B:$B,$B42)+$AB42)),2)</f>
        <v>3.81</v>
      </c>
      <c r="AI42" s="10">
        <f t="shared" si="15"/>
        <v>55.15</v>
      </c>
      <c r="AJ42" s="7">
        <f t="shared" si="16"/>
        <v>39.18</v>
      </c>
      <c r="AK42" s="10">
        <f t="shared" si="17"/>
        <v>58.46</v>
      </c>
      <c r="AL42" s="7">
        <f t="shared" si="17"/>
        <v>41.54</v>
      </c>
      <c r="AM42" s="1">
        <f t="shared" si="22"/>
        <v>7.83</v>
      </c>
      <c r="AN42" s="1">
        <f t="shared" si="23"/>
        <v>8.6</v>
      </c>
      <c r="AO42" s="7">
        <f t="shared" si="24"/>
        <v>8.4600000000000009</v>
      </c>
      <c r="AP42" s="1" t="b">
        <f t="shared" si="18"/>
        <v>0</v>
      </c>
      <c r="AQ42" s="1" t="b">
        <f t="shared" si="18"/>
        <v>0</v>
      </c>
      <c r="AR42" s="7" t="b">
        <f t="shared" si="19"/>
        <v>0</v>
      </c>
      <c r="AS42" s="1">
        <f t="shared" si="20"/>
        <v>0.76999999999999957</v>
      </c>
      <c r="AT42" s="1">
        <f t="shared" si="20"/>
        <v>0.63000000000000078</v>
      </c>
      <c r="AU42" s="7">
        <f t="shared" si="21"/>
        <v>0.13999999999999879</v>
      </c>
      <c r="AV42" s="1">
        <f>ROUND(IF(B42="NSW",N42*Meta!$B$6,N42),1)</f>
        <v>3684</v>
      </c>
      <c r="AW42" s="7">
        <f t="shared" si="25"/>
        <v>73434.2</v>
      </c>
    </row>
    <row r="43" spans="1:49" x14ac:dyDescent="0.55000000000000004">
      <c r="A43" s="11" t="s">
        <v>55</v>
      </c>
      <c r="B43" s="7" t="s">
        <v>13</v>
      </c>
      <c r="C43" s="10">
        <v>36.36</v>
      </c>
      <c r="D43" s="10">
        <v>49.53</v>
      </c>
      <c r="E43" s="10">
        <v>0</v>
      </c>
      <c r="F43" s="10">
        <v>0.86</v>
      </c>
      <c r="G43" s="10">
        <v>1.54</v>
      </c>
      <c r="H43" s="10">
        <v>5.0199999999999996</v>
      </c>
      <c r="I43" s="10">
        <v>8.23</v>
      </c>
      <c r="J43" s="7">
        <f t="shared" si="4"/>
        <v>7.55</v>
      </c>
      <c r="K43" s="10">
        <v>55.9</v>
      </c>
      <c r="L43" s="7">
        <v>44.1</v>
      </c>
      <c r="M43" s="10">
        <v>81435</v>
      </c>
      <c r="N43" s="10">
        <v>6037</v>
      </c>
      <c r="O43" s="7">
        <f t="shared" si="5"/>
        <v>75398</v>
      </c>
      <c r="P43" s="10">
        <f>ROUND($C43+MIN($D43:$E43)*(1-SUMIFS(PrefFlows!$C:$C,PrefFlows!$A:$A,INDEX($D$1:$E$1,MATCH(MIN($D43:$E43),$D43:$E43,0)),PrefFlows!$B:$B,$B43)),2)</f>
        <v>36.36</v>
      </c>
      <c r="Q43" s="10">
        <f>ROUND(MAX($D43:$E43)+MIN($D43:$E43)*SUMIFS(PrefFlows!$C:$C,PrefFlows!$A:$A,INDEX($D$1:$E$1,MATCH(MIN($D43:$E43),$D43:$E43,0)),PrefFlows!$B:$B,$B43),2)</f>
        <v>49.53</v>
      </c>
      <c r="R43" s="10">
        <f t="shared" si="6"/>
        <v>1.54</v>
      </c>
      <c r="S43" s="10">
        <f t="shared" si="7"/>
        <v>5.0199999999999996</v>
      </c>
      <c r="T43" s="7">
        <f t="shared" si="8"/>
        <v>7.55</v>
      </c>
      <c r="U43" s="9">
        <f t="shared" si="9"/>
        <v>13.17</v>
      </c>
      <c r="V43" s="10">
        <f>ROUND($R43*SUMIFS(PrefFlows!$C:$C,PrefFlows!$A:$A,$R$1,PrefFlows!$B:$B,$B43)+$S43*SUMIFS(PrefFlows!$C:$C,PrefFlows!$A:$A,$S$1,PrefFlows!$B:$B,$B43)+$T43*SUMIFS(PrefFlows!$C:$C,PrefFlows!$A:$A,$T$1,PrefFlows!$B:$B,$B43),2)</f>
        <v>5.68</v>
      </c>
      <c r="W43" s="7">
        <f>ROUND($R43*(1-SUMIFS(PrefFlows!$C:$C,PrefFlows!$A:$A,$R$1,PrefFlows!$B:$B,$B43))+$S43*(1-SUMIFS(PrefFlows!$C:$C,PrefFlows!$A:$A,$S$1,PrefFlows!$B:$B,$B43))+$T43*(1-SUMIFS(PrefFlows!$C:$C,PrefFlows!$A:$A,$T$1,PrefFlows!$B:$B,$B43)),2)</f>
        <v>8.43</v>
      </c>
      <c r="X43" s="10">
        <f t="shared" si="10"/>
        <v>6.37</v>
      </c>
      <c r="Y43" s="7">
        <f t="shared" si="11"/>
        <v>7.74</v>
      </c>
      <c r="Z43" s="10">
        <f t="shared" si="12"/>
        <v>0.40260000000000001</v>
      </c>
      <c r="AA43" s="10">
        <f t="shared" si="13"/>
        <v>0.45150000000000001</v>
      </c>
      <c r="AB43" s="10">
        <f t="shared" si="14"/>
        <v>4.8899999999999999E-2</v>
      </c>
      <c r="AC43" s="7">
        <v>6.51907843016373E-2</v>
      </c>
      <c r="AD43" s="10">
        <f>ROUND(R43*(1-(Exhaust!$B$2+AC43)),2)</f>
        <v>0.57999999999999996</v>
      </c>
      <c r="AE43" s="10">
        <f>ROUND(S43*(1-(Exhaust!$B$3+$AC43)),2)</f>
        <v>2.68</v>
      </c>
      <c r="AF43" s="7">
        <f>ROUND(T43*(1-(Exhaust!$B$4+$AC43)),2)</f>
        <v>3.28</v>
      </c>
      <c r="AG43" s="10">
        <f>ROUND($AD43*(SUMIFS(PrefFlows!$C:$C,PrefFlows!$A:$A,$R$1,PrefFlows!$B:$B,$B43)+$AB43)+$AE43*(SUMIFS(PrefFlows!$C:$C,PrefFlows!$A:$A,$S$1,PrefFlows!$B:$B,$B43)+$AB43)+$AF43*(SUMIFS(PrefFlows!$C:$C,PrefFlows!$A:$A,$T$1,PrefFlows!$B:$B,$B43)+$AB43),2)</f>
        <v>2.83</v>
      </c>
      <c r="AH43" s="7">
        <f>ROUND($AD43*(1-(SUMIFS(PrefFlows!$C:$C,PrefFlows!$A:$A,$R$1,PrefFlows!$B:$B,$B43)+$AB43))+$AE43*(1-(SUMIFS(PrefFlows!$C:$C,PrefFlows!$A:$A,$S$1,PrefFlows!$B:$B,$B43)+$AB43))+$AF43*(1-(SUMIFS(PrefFlows!$C:$C,PrefFlows!$A:$A,$T$1,PrefFlows!$B:$B,$B43)+$AB43)),2)</f>
        <v>3.71</v>
      </c>
      <c r="AI43" s="10">
        <f t="shared" si="15"/>
        <v>52.36</v>
      </c>
      <c r="AJ43" s="7">
        <f t="shared" si="16"/>
        <v>40.07</v>
      </c>
      <c r="AK43" s="10">
        <f t="shared" si="17"/>
        <v>56.65</v>
      </c>
      <c r="AL43" s="7">
        <f t="shared" si="17"/>
        <v>43.35</v>
      </c>
      <c r="AM43" s="1">
        <f t="shared" si="22"/>
        <v>5.9</v>
      </c>
      <c r="AN43" s="1">
        <f t="shared" si="23"/>
        <v>6.68</v>
      </c>
      <c r="AO43" s="7">
        <f t="shared" si="24"/>
        <v>6.65</v>
      </c>
      <c r="AP43" s="1" t="b">
        <f t="shared" si="18"/>
        <v>0</v>
      </c>
      <c r="AQ43" s="1" t="b">
        <f t="shared" si="18"/>
        <v>0</v>
      </c>
      <c r="AR43" s="7" t="b">
        <f t="shared" si="19"/>
        <v>0</v>
      </c>
      <c r="AS43" s="1">
        <f t="shared" si="20"/>
        <v>0.77999999999999936</v>
      </c>
      <c r="AT43" s="1">
        <f t="shared" si="20"/>
        <v>0.75</v>
      </c>
      <c r="AU43" s="7">
        <f t="shared" si="21"/>
        <v>2.9999999999999361E-2</v>
      </c>
      <c r="AV43" s="1">
        <f>ROUND(IF(B43="NSW",N43*Meta!$B$6,N43),1)</f>
        <v>4044.8</v>
      </c>
      <c r="AW43" s="7">
        <f t="shared" si="25"/>
        <v>72973.100000000006</v>
      </c>
    </row>
    <row r="44" spans="1:49" x14ac:dyDescent="0.55000000000000004">
      <c r="A44" s="11" t="s">
        <v>56</v>
      </c>
      <c r="B44" s="7" t="s">
        <v>10</v>
      </c>
      <c r="C44" s="10">
        <v>33.57</v>
      </c>
      <c r="D44" s="10">
        <v>55.54</v>
      </c>
      <c r="E44" s="10">
        <v>0</v>
      </c>
      <c r="F44" s="10">
        <v>1.22</v>
      </c>
      <c r="G44" s="10">
        <v>0</v>
      </c>
      <c r="H44" s="10">
        <v>6.24</v>
      </c>
      <c r="I44" s="10">
        <v>3.43</v>
      </c>
      <c r="J44" s="7">
        <f t="shared" si="4"/>
        <v>4.6500000000000004</v>
      </c>
      <c r="K44" s="10">
        <v>59.38</v>
      </c>
      <c r="L44" s="7">
        <v>40.619999999999997</v>
      </c>
      <c r="M44" s="10">
        <v>86324</v>
      </c>
      <c r="N44" s="10">
        <v>3376</v>
      </c>
      <c r="O44" s="7">
        <f t="shared" si="5"/>
        <v>82948</v>
      </c>
      <c r="P44" s="10">
        <f>ROUND($C44+MIN($D44:$E44)*(1-SUMIFS(PrefFlows!$C:$C,PrefFlows!$A:$A,INDEX($D$1:$E$1,MATCH(MIN($D44:$E44),$D44:$E44,0)),PrefFlows!$B:$B,$B44)),2)</f>
        <v>33.57</v>
      </c>
      <c r="Q44" s="10">
        <f>ROUND(MAX($D44:$E44)+MIN($D44:$E44)*SUMIFS(PrefFlows!$C:$C,PrefFlows!$A:$A,INDEX($D$1:$E$1,MATCH(MIN($D44:$E44),$D44:$E44,0)),PrefFlows!$B:$B,$B44),2)</f>
        <v>55.54</v>
      </c>
      <c r="R44" s="10">
        <f t="shared" si="6"/>
        <v>0</v>
      </c>
      <c r="S44" s="10">
        <f t="shared" si="7"/>
        <v>6.24</v>
      </c>
      <c r="T44" s="7">
        <f t="shared" si="8"/>
        <v>4.6500000000000004</v>
      </c>
      <c r="U44" s="9">
        <f t="shared" si="9"/>
        <v>21.97</v>
      </c>
      <c r="V44" s="10">
        <f>ROUND($R44*SUMIFS(PrefFlows!$C:$C,PrefFlows!$A:$A,$R$1,PrefFlows!$B:$B,$B44)+$S44*SUMIFS(PrefFlows!$C:$C,PrefFlows!$A:$A,$S$1,PrefFlows!$B:$B,$B44)+$T44*SUMIFS(PrefFlows!$C:$C,PrefFlows!$A:$A,$T$1,PrefFlows!$B:$B,$B44),2)</f>
        <v>3.49</v>
      </c>
      <c r="W44" s="7">
        <f>ROUND($R44*(1-SUMIFS(PrefFlows!$C:$C,PrefFlows!$A:$A,$R$1,PrefFlows!$B:$B,$B44))+$S44*(1-SUMIFS(PrefFlows!$C:$C,PrefFlows!$A:$A,$S$1,PrefFlows!$B:$B,$B44))+$T44*(1-SUMIFS(PrefFlows!$C:$C,PrefFlows!$A:$A,$T$1,PrefFlows!$B:$B,$B44)),2)</f>
        <v>7.4</v>
      </c>
      <c r="X44" s="10">
        <f t="shared" si="10"/>
        <v>3.84</v>
      </c>
      <c r="Y44" s="7">
        <f t="shared" si="11"/>
        <v>7.05</v>
      </c>
      <c r="Z44" s="10">
        <f t="shared" si="12"/>
        <v>0.32050000000000001</v>
      </c>
      <c r="AA44" s="10">
        <f t="shared" si="13"/>
        <v>0.35260000000000002</v>
      </c>
      <c r="AB44" s="10">
        <f t="shared" si="14"/>
        <v>3.2099999999999997E-2</v>
      </c>
      <c r="AC44" s="7">
        <v>8.57970930589169E-3</v>
      </c>
      <c r="AD44" s="10">
        <f>ROUND(R44*(1-(Exhaust!$B$2+AC44)),2)</f>
        <v>0</v>
      </c>
      <c r="AE44" s="10">
        <f>ROUND(S44*(1-(Exhaust!$B$3+$AC44)),2)</f>
        <v>3.69</v>
      </c>
      <c r="AF44" s="7">
        <f>ROUND(T44*(1-(Exhaust!$B$4+$AC44)),2)</f>
        <v>2.29</v>
      </c>
      <c r="AG44" s="10">
        <f>ROUND($AD44*(SUMIFS(PrefFlows!$C:$C,PrefFlows!$A:$A,$R$1,PrefFlows!$B:$B,$B44)+$AB44)+$AE44*(SUMIFS(PrefFlows!$C:$C,PrefFlows!$A:$A,$S$1,PrefFlows!$B:$B,$B44)+$AB44)+$AF44*(SUMIFS(PrefFlows!$C:$C,PrefFlows!$A:$A,$T$1,PrefFlows!$B:$B,$B44)+$AB44),2)</f>
        <v>2.02</v>
      </c>
      <c r="AH44" s="7">
        <f>ROUND($AD44*(1-(SUMIFS(PrefFlows!$C:$C,PrefFlows!$A:$A,$R$1,PrefFlows!$B:$B,$B44)+$AB44))+$AE44*(1-(SUMIFS(PrefFlows!$C:$C,PrefFlows!$A:$A,$S$1,PrefFlows!$B:$B,$B44)+$AB44))+$AF44*(1-(SUMIFS(PrefFlows!$C:$C,PrefFlows!$A:$A,$T$1,PrefFlows!$B:$B,$B44)+$AB44)),2)</f>
        <v>3.96</v>
      </c>
      <c r="AI44" s="10">
        <f t="shared" si="15"/>
        <v>57.56</v>
      </c>
      <c r="AJ44" s="7">
        <f t="shared" si="16"/>
        <v>37.53</v>
      </c>
      <c r="AK44" s="10">
        <f t="shared" si="17"/>
        <v>60.53</v>
      </c>
      <c r="AL44" s="7">
        <f t="shared" si="17"/>
        <v>39.47</v>
      </c>
      <c r="AM44" s="1">
        <f t="shared" si="22"/>
        <v>9.3800000000000008</v>
      </c>
      <c r="AN44" s="1">
        <f t="shared" si="23"/>
        <v>10.71</v>
      </c>
      <c r="AO44" s="7">
        <f t="shared" si="24"/>
        <v>10.53</v>
      </c>
      <c r="AP44" s="1" t="b">
        <f t="shared" si="18"/>
        <v>0</v>
      </c>
      <c r="AQ44" s="1" t="b">
        <f t="shared" si="18"/>
        <v>0</v>
      </c>
      <c r="AR44" s="7" t="b">
        <f t="shared" si="19"/>
        <v>0</v>
      </c>
      <c r="AS44" s="1">
        <f t="shared" si="20"/>
        <v>1.33</v>
      </c>
      <c r="AT44" s="1">
        <f t="shared" si="20"/>
        <v>1.1499999999999986</v>
      </c>
      <c r="AU44" s="7">
        <f t="shared" si="21"/>
        <v>0.18000000000000149</v>
      </c>
      <c r="AV44" s="1">
        <f>ROUND(IF(B44="NSW",N44*Meta!$B$6,N44),1)</f>
        <v>3376</v>
      </c>
      <c r="AW44" s="7">
        <f t="shared" si="25"/>
        <v>80112.800000000003</v>
      </c>
    </row>
    <row r="45" spans="1:49" x14ac:dyDescent="0.55000000000000004">
      <c r="A45" s="11" t="s">
        <v>57</v>
      </c>
      <c r="B45" s="7" t="s">
        <v>13</v>
      </c>
      <c r="C45" s="10">
        <v>38.74</v>
      </c>
      <c r="D45" s="10">
        <v>48.48</v>
      </c>
      <c r="E45" s="10">
        <v>0</v>
      </c>
      <c r="F45" s="10">
        <v>0.86</v>
      </c>
      <c r="G45" s="10">
        <v>1.83</v>
      </c>
      <c r="H45" s="10">
        <v>7.44</v>
      </c>
      <c r="I45" s="10">
        <v>4.4800000000000004</v>
      </c>
      <c r="J45" s="7">
        <f t="shared" si="4"/>
        <v>3.51</v>
      </c>
      <c r="K45" s="10">
        <v>52.14</v>
      </c>
      <c r="L45" s="7">
        <v>47.86</v>
      </c>
      <c r="M45" s="10">
        <v>88162</v>
      </c>
      <c r="N45" s="10">
        <v>4032</v>
      </c>
      <c r="O45" s="7">
        <f t="shared" si="5"/>
        <v>84130</v>
      </c>
      <c r="P45" s="10">
        <f>ROUND($C45+MIN($D45:$E45)*(1-SUMIFS(PrefFlows!$C:$C,PrefFlows!$A:$A,INDEX($D$1:$E$1,MATCH(MIN($D45:$E45),$D45:$E45,0)),PrefFlows!$B:$B,$B45)),2)</f>
        <v>38.74</v>
      </c>
      <c r="Q45" s="10">
        <f>ROUND(MAX($D45:$E45)+MIN($D45:$E45)*SUMIFS(PrefFlows!$C:$C,PrefFlows!$A:$A,INDEX($D$1:$E$1,MATCH(MIN($D45:$E45),$D45:$E45,0)),PrefFlows!$B:$B,$B45),2)</f>
        <v>48.48</v>
      </c>
      <c r="R45" s="10">
        <f t="shared" si="6"/>
        <v>1.83</v>
      </c>
      <c r="S45" s="10">
        <f t="shared" si="7"/>
        <v>7.44</v>
      </c>
      <c r="T45" s="7">
        <f t="shared" si="8"/>
        <v>3.51</v>
      </c>
      <c r="U45" s="9">
        <f t="shared" si="9"/>
        <v>9.74</v>
      </c>
      <c r="V45" s="10">
        <f>ROUND($R45*SUMIFS(PrefFlows!$C:$C,PrefFlows!$A:$A,$R$1,PrefFlows!$B:$B,$B45)+$S45*SUMIFS(PrefFlows!$C:$C,PrefFlows!$A:$A,$S$1,PrefFlows!$B:$B,$B45)+$T45*SUMIFS(PrefFlows!$C:$C,PrefFlows!$A:$A,$T$1,PrefFlows!$B:$B,$B45),2)</f>
        <v>4.1399999999999997</v>
      </c>
      <c r="W45" s="7">
        <f>ROUND($R45*(1-SUMIFS(PrefFlows!$C:$C,PrefFlows!$A:$A,$R$1,PrefFlows!$B:$B,$B45))+$S45*(1-SUMIFS(PrefFlows!$C:$C,PrefFlows!$A:$A,$S$1,PrefFlows!$B:$B,$B45))+$T45*(1-SUMIFS(PrefFlows!$C:$C,PrefFlows!$A:$A,$T$1,PrefFlows!$B:$B,$B45)),2)</f>
        <v>8.64</v>
      </c>
      <c r="X45" s="10">
        <f t="shared" si="10"/>
        <v>3.66</v>
      </c>
      <c r="Y45" s="7">
        <f t="shared" si="11"/>
        <v>9.1199999999999992</v>
      </c>
      <c r="Z45" s="10">
        <f t="shared" si="12"/>
        <v>0.32390000000000002</v>
      </c>
      <c r="AA45" s="10">
        <f t="shared" si="13"/>
        <v>0.28639999999999999</v>
      </c>
      <c r="AB45" s="10">
        <f t="shared" si="14"/>
        <v>-3.7499999999999999E-2</v>
      </c>
      <c r="AC45" s="7">
        <v>-3.5686698118324603E-2</v>
      </c>
      <c r="AD45" s="10">
        <f>ROUND(R45*(1-(Exhaust!$B$2+AC45)),2)</f>
        <v>0.87</v>
      </c>
      <c r="AE45" s="10">
        <f>ROUND(S45*(1-(Exhaust!$B$3+$AC45)),2)</f>
        <v>4.7300000000000004</v>
      </c>
      <c r="AF45" s="7">
        <f>ROUND(T45*(1-(Exhaust!$B$4+$AC45)),2)</f>
        <v>1.88</v>
      </c>
      <c r="AG45" s="10">
        <f>ROUND($AD45*(SUMIFS(PrefFlows!$C:$C,PrefFlows!$A:$A,$R$1,PrefFlows!$B:$B,$B45)+$AB45)+$AE45*(SUMIFS(PrefFlows!$C:$C,PrefFlows!$A:$A,$S$1,PrefFlows!$B:$B,$B45)+$AB45)+$AF45*(SUMIFS(PrefFlows!$C:$C,PrefFlows!$A:$A,$T$1,PrefFlows!$B:$B,$B45)+$AB45),2)</f>
        <v>2.0099999999999998</v>
      </c>
      <c r="AH45" s="7">
        <f>ROUND($AD45*(1-(SUMIFS(PrefFlows!$C:$C,PrefFlows!$A:$A,$R$1,PrefFlows!$B:$B,$B45)+$AB45))+$AE45*(1-(SUMIFS(PrefFlows!$C:$C,PrefFlows!$A:$A,$S$1,PrefFlows!$B:$B,$B45)+$AB45))+$AF45*(1-(SUMIFS(PrefFlows!$C:$C,PrefFlows!$A:$A,$T$1,PrefFlows!$B:$B,$B45)+$AB45)),2)</f>
        <v>5.47</v>
      </c>
      <c r="AI45" s="10">
        <f t="shared" si="15"/>
        <v>50.49</v>
      </c>
      <c r="AJ45" s="7">
        <f t="shared" si="16"/>
        <v>44.21</v>
      </c>
      <c r="AK45" s="10">
        <f t="shared" si="17"/>
        <v>53.32</v>
      </c>
      <c r="AL45" s="7">
        <f t="shared" si="17"/>
        <v>46.68</v>
      </c>
      <c r="AM45" s="1">
        <f t="shared" si="22"/>
        <v>2.14</v>
      </c>
      <c r="AN45" s="1">
        <f t="shared" si="23"/>
        <v>3.68</v>
      </c>
      <c r="AO45" s="7">
        <f t="shared" si="24"/>
        <v>3.32</v>
      </c>
      <c r="AP45" s="1" t="b">
        <f t="shared" si="18"/>
        <v>0</v>
      </c>
      <c r="AQ45" s="1" t="b">
        <f t="shared" si="18"/>
        <v>0</v>
      </c>
      <c r="AR45" s="7" t="b">
        <f t="shared" si="19"/>
        <v>0</v>
      </c>
      <c r="AS45" s="1">
        <f t="shared" si="20"/>
        <v>1.54</v>
      </c>
      <c r="AT45" s="1">
        <f t="shared" si="20"/>
        <v>1.1799999999999997</v>
      </c>
      <c r="AU45" s="7">
        <f t="shared" si="21"/>
        <v>0.36000000000000032</v>
      </c>
      <c r="AV45" s="1">
        <f>ROUND(IF(B45="NSW",N45*Meta!$B$6,N45),1)</f>
        <v>2701.4</v>
      </c>
      <c r="AW45" s="7">
        <f t="shared" si="25"/>
        <v>81917.399999999994</v>
      </c>
    </row>
    <row r="46" spans="1:49" x14ac:dyDescent="0.55000000000000004">
      <c r="A46" s="11" t="s">
        <v>58</v>
      </c>
      <c r="B46" s="7" t="s">
        <v>23</v>
      </c>
      <c r="C46" s="10">
        <v>28.03</v>
      </c>
      <c r="D46" s="10">
        <v>59.56</v>
      </c>
      <c r="E46" s="10">
        <v>0</v>
      </c>
      <c r="F46" s="10">
        <v>1.56</v>
      </c>
      <c r="G46" s="10">
        <v>2.0099999999999998</v>
      </c>
      <c r="H46" s="10">
        <v>4.24</v>
      </c>
      <c r="I46" s="10">
        <v>6.61</v>
      </c>
      <c r="J46" s="7">
        <f t="shared" si="4"/>
        <v>6.16</v>
      </c>
      <c r="K46" s="10">
        <v>65.28</v>
      </c>
      <c r="L46" s="7">
        <v>34.72</v>
      </c>
      <c r="M46" s="10">
        <v>75745</v>
      </c>
      <c r="N46" s="10">
        <v>4672</v>
      </c>
      <c r="O46" s="7">
        <f t="shared" si="5"/>
        <v>71073</v>
      </c>
      <c r="P46" s="10">
        <f>ROUND($C46+MIN($D46:$E46)*(1-SUMIFS(PrefFlows!$C:$C,PrefFlows!$A:$A,INDEX($D$1:$E$1,MATCH(MIN($D46:$E46),$D46:$E46,0)),PrefFlows!$B:$B,$B46)),2)</f>
        <v>28.03</v>
      </c>
      <c r="Q46" s="10">
        <f>ROUND(MAX($D46:$E46)+MIN($D46:$E46)*SUMIFS(PrefFlows!$C:$C,PrefFlows!$A:$A,INDEX($D$1:$E$1,MATCH(MIN($D46:$E46),$D46:$E46,0)),PrefFlows!$B:$B,$B46),2)</f>
        <v>59.56</v>
      </c>
      <c r="R46" s="10">
        <f t="shared" si="6"/>
        <v>2.0099999999999998</v>
      </c>
      <c r="S46" s="10">
        <f t="shared" si="7"/>
        <v>4.24</v>
      </c>
      <c r="T46" s="7">
        <f t="shared" si="8"/>
        <v>6.16</v>
      </c>
      <c r="U46" s="9">
        <f t="shared" si="9"/>
        <v>31.53</v>
      </c>
      <c r="V46" s="10">
        <f>ROUND($R46*SUMIFS(PrefFlows!$C:$C,PrefFlows!$A:$A,$R$1,PrefFlows!$B:$B,$B46)+$S46*SUMIFS(PrefFlows!$C:$C,PrefFlows!$A:$A,$S$1,PrefFlows!$B:$B,$B46)+$T46*SUMIFS(PrefFlows!$C:$C,PrefFlows!$A:$A,$T$1,PrefFlows!$B:$B,$B46),2)</f>
        <v>5.39</v>
      </c>
      <c r="W46" s="7">
        <f>ROUND($R46*(1-SUMIFS(PrefFlows!$C:$C,PrefFlows!$A:$A,$R$1,PrefFlows!$B:$B,$B46))+$S46*(1-SUMIFS(PrefFlows!$C:$C,PrefFlows!$A:$A,$S$1,PrefFlows!$B:$B,$B46))+$T46*(1-SUMIFS(PrefFlows!$C:$C,PrefFlows!$A:$A,$T$1,PrefFlows!$B:$B,$B46)),2)</f>
        <v>7.02</v>
      </c>
      <c r="X46" s="10">
        <f t="shared" si="10"/>
        <v>5.72</v>
      </c>
      <c r="Y46" s="7">
        <f t="shared" si="11"/>
        <v>6.69</v>
      </c>
      <c r="Z46" s="10">
        <f t="shared" si="12"/>
        <v>0.43430000000000002</v>
      </c>
      <c r="AA46" s="10">
        <f t="shared" si="13"/>
        <v>0.46089999999999998</v>
      </c>
      <c r="AB46" s="10">
        <f t="shared" si="14"/>
        <v>2.6599999999999999E-2</v>
      </c>
      <c r="AC46" s="7">
        <v>9.5616333526770098E-2</v>
      </c>
      <c r="AD46" s="10">
        <f>ROUND(R46*(1-(Exhaust!$B$2+AC46)),2)</f>
        <v>0.69</v>
      </c>
      <c r="AE46" s="10">
        <f>ROUND(S46*(1-(Exhaust!$B$3+$AC46)),2)</f>
        <v>2.14</v>
      </c>
      <c r="AF46" s="7">
        <f>ROUND(T46*(1-(Exhaust!$B$4+$AC46)),2)</f>
        <v>2.4900000000000002</v>
      </c>
      <c r="AG46" s="10">
        <f>ROUND($AD46*(SUMIFS(PrefFlows!$C:$C,PrefFlows!$A:$A,$R$1,PrefFlows!$B:$B,$B46)+$AB46)+$AE46*(SUMIFS(PrefFlows!$C:$C,PrefFlows!$A:$A,$S$1,PrefFlows!$B:$B,$B46)+$AB46)+$AF46*(SUMIFS(PrefFlows!$C:$C,PrefFlows!$A:$A,$T$1,PrefFlows!$B:$B,$B46)+$AB46),2)</f>
        <v>2.36</v>
      </c>
      <c r="AH46" s="7">
        <f>ROUND($AD46*(1-(SUMIFS(PrefFlows!$C:$C,PrefFlows!$A:$A,$R$1,PrefFlows!$B:$B,$B46)+$AB46))+$AE46*(1-(SUMIFS(PrefFlows!$C:$C,PrefFlows!$A:$A,$S$1,PrefFlows!$B:$B,$B46)+$AB46))+$AF46*(1-(SUMIFS(PrefFlows!$C:$C,PrefFlows!$A:$A,$T$1,PrefFlows!$B:$B,$B46)+$AB46)),2)</f>
        <v>2.96</v>
      </c>
      <c r="AI46" s="10">
        <f t="shared" si="15"/>
        <v>61.92</v>
      </c>
      <c r="AJ46" s="7">
        <f t="shared" si="16"/>
        <v>30.99</v>
      </c>
      <c r="AK46" s="10">
        <f t="shared" si="17"/>
        <v>66.650000000000006</v>
      </c>
      <c r="AL46" s="7">
        <f t="shared" si="17"/>
        <v>33.35</v>
      </c>
      <c r="AM46" s="1">
        <f t="shared" si="22"/>
        <v>15.28</v>
      </c>
      <c r="AN46" s="1">
        <f t="shared" si="23"/>
        <v>16.5</v>
      </c>
      <c r="AO46" s="7">
        <f t="shared" si="24"/>
        <v>16.649999999999999</v>
      </c>
      <c r="AP46" s="1" t="b">
        <f t="shared" si="18"/>
        <v>0</v>
      </c>
      <c r="AQ46" s="1" t="b">
        <f t="shared" si="18"/>
        <v>0</v>
      </c>
      <c r="AR46" s="7" t="b">
        <f t="shared" si="19"/>
        <v>0</v>
      </c>
      <c r="AS46" s="1">
        <f t="shared" si="20"/>
        <v>1.2200000000000006</v>
      </c>
      <c r="AT46" s="1">
        <f t="shared" si="20"/>
        <v>1.3699999999999992</v>
      </c>
      <c r="AU46" s="7">
        <f t="shared" si="21"/>
        <v>0.14999999999999858</v>
      </c>
      <c r="AV46" s="1">
        <f>ROUND(IF(B46="NSW",N46*Meta!$B$6,N46),1)</f>
        <v>4672</v>
      </c>
      <c r="AW46" s="7">
        <f t="shared" si="25"/>
        <v>67707.399999999994</v>
      </c>
    </row>
    <row r="47" spans="1:49" x14ac:dyDescent="0.55000000000000004">
      <c r="A47" s="11" t="s">
        <v>59</v>
      </c>
      <c r="B47" s="7" t="s">
        <v>23</v>
      </c>
      <c r="C47" s="10">
        <v>27.15</v>
      </c>
      <c r="D47" s="10">
        <v>52.3</v>
      </c>
      <c r="E47" s="10">
        <v>0</v>
      </c>
      <c r="F47" s="10">
        <v>2.54</v>
      </c>
      <c r="G47" s="10">
        <v>3.1</v>
      </c>
      <c r="H47" s="10">
        <v>10.09</v>
      </c>
      <c r="I47" s="10">
        <v>7.92</v>
      </c>
      <c r="J47" s="7">
        <f t="shared" si="4"/>
        <v>7.36</v>
      </c>
      <c r="K47" s="10">
        <v>60.83</v>
      </c>
      <c r="L47" s="7">
        <v>39.17</v>
      </c>
      <c r="M47" s="10">
        <v>78864</v>
      </c>
      <c r="N47" s="10">
        <v>4145</v>
      </c>
      <c r="O47" s="7">
        <f t="shared" si="5"/>
        <v>74719</v>
      </c>
      <c r="P47" s="10">
        <f>ROUND($C47+MIN($D47:$E47)*(1-SUMIFS(PrefFlows!$C:$C,PrefFlows!$A:$A,INDEX($D$1:$E$1,MATCH(MIN($D47:$E47),$D47:$E47,0)),PrefFlows!$B:$B,$B47)),2)</f>
        <v>27.15</v>
      </c>
      <c r="Q47" s="10">
        <f>ROUND(MAX($D47:$E47)+MIN($D47:$E47)*SUMIFS(PrefFlows!$C:$C,PrefFlows!$A:$A,INDEX($D$1:$E$1,MATCH(MIN($D47:$E47),$D47:$E47,0)),PrefFlows!$B:$B,$B47),2)</f>
        <v>52.3</v>
      </c>
      <c r="R47" s="10">
        <f t="shared" si="6"/>
        <v>3.1</v>
      </c>
      <c r="S47" s="10">
        <f t="shared" si="7"/>
        <v>10.09</v>
      </c>
      <c r="T47" s="7">
        <f t="shared" si="8"/>
        <v>7.36</v>
      </c>
      <c r="U47" s="9">
        <f t="shared" si="9"/>
        <v>25.15</v>
      </c>
      <c r="V47" s="10">
        <f>ROUND($R47*SUMIFS(PrefFlows!$C:$C,PrefFlows!$A:$A,$R$1,PrefFlows!$B:$B,$B47)+$S47*SUMIFS(PrefFlows!$C:$C,PrefFlows!$A:$A,$S$1,PrefFlows!$B:$B,$B47)+$T47*SUMIFS(PrefFlows!$C:$C,PrefFlows!$A:$A,$T$1,PrefFlows!$B:$B,$B47),2)</f>
        <v>8.1199999999999992</v>
      </c>
      <c r="W47" s="7">
        <f>ROUND($R47*(1-SUMIFS(PrefFlows!$C:$C,PrefFlows!$A:$A,$R$1,PrefFlows!$B:$B,$B47))+$S47*(1-SUMIFS(PrefFlows!$C:$C,PrefFlows!$A:$A,$S$1,PrefFlows!$B:$B,$B47))+$T47*(1-SUMIFS(PrefFlows!$C:$C,PrefFlows!$A:$A,$T$1,PrefFlows!$B:$B,$B47)),2)</f>
        <v>12.43</v>
      </c>
      <c r="X47" s="10">
        <f t="shared" si="10"/>
        <v>8.5299999999999994</v>
      </c>
      <c r="Y47" s="7">
        <f t="shared" si="11"/>
        <v>12.02</v>
      </c>
      <c r="Z47" s="10">
        <f t="shared" si="12"/>
        <v>0.39510000000000001</v>
      </c>
      <c r="AA47" s="10">
        <f t="shared" si="13"/>
        <v>0.41510000000000002</v>
      </c>
      <c r="AB47" s="10">
        <f t="shared" si="14"/>
        <v>0.02</v>
      </c>
      <c r="AC47" s="7">
        <v>4.0152304808183499E-2</v>
      </c>
      <c r="AD47" s="10">
        <f>ROUND(R47*(1-(Exhaust!$B$2+AC47)),2)</f>
        <v>1.24</v>
      </c>
      <c r="AE47" s="10">
        <f>ROUND(S47*(1-(Exhaust!$B$3+$AC47)),2)</f>
        <v>5.65</v>
      </c>
      <c r="AF47" s="7">
        <f>ROUND(T47*(1-(Exhaust!$B$4+$AC47)),2)</f>
        <v>3.38</v>
      </c>
      <c r="AG47" s="10">
        <f>ROUND($AD47*(SUMIFS(PrefFlows!$C:$C,PrefFlows!$A:$A,$R$1,PrefFlows!$B:$B,$B47)+$AB47)+$AE47*(SUMIFS(PrefFlows!$C:$C,PrefFlows!$A:$A,$S$1,PrefFlows!$B:$B,$B47)+$AB47)+$AF47*(SUMIFS(PrefFlows!$C:$C,PrefFlows!$A:$A,$T$1,PrefFlows!$B:$B,$B47)+$AB47),2)</f>
        <v>4.08</v>
      </c>
      <c r="AH47" s="7">
        <f>ROUND($AD47*(1-(SUMIFS(PrefFlows!$C:$C,PrefFlows!$A:$A,$R$1,PrefFlows!$B:$B,$B47)+$AB47))+$AE47*(1-(SUMIFS(PrefFlows!$C:$C,PrefFlows!$A:$A,$S$1,PrefFlows!$B:$B,$B47)+$AB47))+$AF47*(1-(SUMIFS(PrefFlows!$C:$C,PrefFlows!$A:$A,$T$1,PrefFlows!$B:$B,$B47)+$AB47)),2)</f>
        <v>6.19</v>
      </c>
      <c r="AI47" s="10">
        <f t="shared" si="15"/>
        <v>56.38</v>
      </c>
      <c r="AJ47" s="7">
        <f t="shared" si="16"/>
        <v>33.340000000000003</v>
      </c>
      <c r="AK47" s="10">
        <f t="shared" si="17"/>
        <v>62.84</v>
      </c>
      <c r="AL47" s="7">
        <f t="shared" si="17"/>
        <v>37.159999999999997</v>
      </c>
      <c r="AM47" s="1">
        <f t="shared" si="22"/>
        <v>10.83</v>
      </c>
      <c r="AN47" s="1">
        <f t="shared" si="23"/>
        <v>12.94</v>
      </c>
      <c r="AO47" s="7">
        <f t="shared" si="24"/>
        <v>12.84</v>
      </c>
      <c r="AP47" s="1" t="b">
        <f t="shared" si="18"/>
        <v>0</v>
      </c>
      <c r="AQ47" s="1" t="b">
        <f t="shared" si="18"/>
        <v>0</v>
      </c>
      <c r="AR47" s="7" t="b">
        <f t="shared" si="19"/>
        <v>0</v>
      </c>
      <c r="AS47" s="1">
        <f t="shared" si="20"/>
        <v>2.1099999999999994</v>
      </c>
      <c r="AT47" s="1">
        <f t="shared" si="20"/>
        <v>2.0099999999999998</v>
      </c>
      <c r="AU47" s="7">
        <f t="shared" si="21"/>
        <v>9.9999999999999645E-2</v>
      </c>
      <c r="AV47" s="1">
        <f>ROUND(IF(B47="NSW",N47*Meta!$B$6,N47),1)</f>
        <v>4145</v>
      </c>
      <c r="AW47" s="7">
        <f t="shared" si="25"/>
        <v>68471.600000000006</v>
      </c>
    </row>
    <row r="48" spans="1:49" x14ac:dyDescent="0.55000000000000004">
      <c r="A48" s="11" t="s">
        <v>60</v>
      </c>
      <c r="B48" s="7" t="s">
        <v>13</v>
      </c>
      <c r="C48" s="10">
        <v>22.81</v>
      </c>
      <c r="D48" s="10">
        <v>63.48</v>
      </c>
      <c r="E48" s="10">
        <v>0</v>
      </c>
      <c r="F48" s="10">
        <v>0.61</v>
      </c>
      <c r="G48" s="10">
        <v>2.13</v>
      </c>
      <c r="H48" s="10">
        <v>3.59</v>
      </c>
      <c r="I48" s="10">
        <v>9.51</v>
      </c>
      <c r="J48" s="7">
        <f t="shared" si="4"/>
        <v>7.99</v>
      </c>
      <c r="K48" s="10">
        <v>69.819999999999993</v>
      </c>
      <c r="L48" s="7">
        <v>30.18</v>
      </c>
      <c r="M48" s="10">
        <v>81561</v>
      </c>
      <c r="N48" s="10">
        <v>5464</v>
      </c>
      <c r="O48" s="7">
        <f t="shared" si="5"/>
        <v>76097</v>
      </c>
      <c r="P48" s="10">
        <f>ROUND($C48+MIN($D48:$E48)*(1-SUMIFS(PrefFlows!$C:$C,PrefFlows!$A:$A,INDEX($D$1:$E$1,MATCH(MIN($D48:$E48),$D48:$E48,0)),PrefFlows!$B:$B,$B48)),2)</f>
        <v>22.81</v>
      </c>
      <c r="Q48" s="10">
        <f>ROUND(MAX($D48:$E48)+MIN($D48:$E48)*SUMIFS(PrefFlows!$C:$C,PrefFlows!$A:$A,INDEX($D$1:$E$1,MATCH(MIN($D48:$E48),$D48:$E48,0)),PrefFlows!$B:$B,$B48),2)</f>
        <v>63.48</v>
      </c>
      <c r="R48" s="10">
        <f t="shared" si="6"/>
        <v>2.13</v>
      </c>
      <c r="S48" s="10">
        <f t="shared" si="7"/>
        <v>3.59</v>
      </c>
      <c r="T48" s="7">
        <f t="shared" si="8"/>
        <v>7.99</v>
      </c>
      <c r="U48" s="9">
        <f t="shared" si="9"/>
        <v>40.67</v>
      </c>
      <c r="V48" s="10">
        <f>ROUND($R48*SUMIFS(PrefFlows!$C:$C,PrefFlows!$A:$A,$R$1,PrefFlows!$B:$B,$B48)+$S48*SUMIFS(PrefFlows!$C:$C,PrefFlows!$A:$A,$S$1,PrefFlows!$B:$B,$B48)+$T48*SUMIFS(PrefFlows!$C:$C,PrefFlows!$A:$A,$T$1,PrefFlows!$B:$B,$B48),2)</f>
        <v>5.97</v>
      </c>
      <c r="W48" s="7">
        <f>ROUND($R48*(1-SUMIFS(PrefFlows!$C:$C,PrefFlows!$A:$A,$R$1,PrefFlows!$B:$B,$B48))+$S48*(1-SUMIFS(PrefFlows!$C:$C,PrefFlows!$A:$A,$S$1,PrefFlows!$B:$B,$B48))+$T48*(1-SUMIFS(PrefFlows!$C:$C,PrefFlows!$A:$A,$T$1,PrefFlows!$B:$B,$B48)),2)</f>
        <v>7.74</v>
      </c>
      <c r="X48" s="10">
        <f t="shared" si="10"/>
        <v>6.34</v>
      </c>
      <c r="Y48" s="7">
        <f t="shared" si="11"/>
        <v>7.37</v>
      </c>
      <c r="Z48" s="10">
        <f t="shared" si="12"/>
        <v>0.43540000000000001</v>
      </c>
      <c r="AA48" s="10">
        <f t="shared" si="13"/>
        <v>0.46239999999999998</v>
      </c>
      <c r="AB48" s="10">
        <f t="shared" si="14"/>
        <v>2.7E-2</v>
      </c>
      <c r="AC48" s="7">
        <v>2.4780925797362099E-2</v>
      </c>
      <c r="AD48" s="10">
        <f>ROUND(R48*(1-(Exhaust!$B$2+AC48)),2)</f>
        <v>0.88</v>
      </c>
      <c r="AE48" s="10">
        <f>ROUND(S48*(1-(Exhaust!$B$3+$AC48)),2)</f>
        <v>2.0699999999999998</v>
      </c>
      <c r="AF48" s="7">
        <f>ROUND(T48*(1-(Exhaust!$B$4+$AC48)),2)</f>
        <v>3.8</v>
      </c>
      <c r="AG48" s="10">
        <f>ROUND($AD48*(SUMIFS(PrefFlows!$C:$C,PrefFlows!$A:$A,$R$1,PrefFlows!$B:$B,$B48)+$AB48)+$AE48*(SUMIFS(PrefFlows!$C:$C,PrefFlows!$A:$A,$S$1,PrefFlows!$B:$B,$B48)+$AB48)+$AF48*(SUMIFS(PrefFlows!$C:$C,PrefFlows!$A:$A,$T$1,PrefFlows!$B:$B,$B48)+$AB48),2)</f>
        <v>3.01</v>
      </c>
      <c r="AH48" s="7">
        <f>ROUND($AD48*(1-(SUMIFS(PrefFlows!$C:$C,PrefFlows!$A:$A,$R$1,PrefFlows!$B:$B,$B48)+$AB48))+$AE48*(1-(SUMIFS(PrefFlows!$C:$C,PrefFlows!$A:$A,$S$1,PrefFlows!$B:$B,$B48)+$AB48))+$AF48*(1-(SUMIFS(PrefFlows!$C:$C,PrefFlows!$A:$A,$T$1,PrefFlows!$B:$B,$B48)+$AB48)),2)</f>
        <v>3.74</v>
      </c>
      <c r="AI48" s="10">
        <f t="shared" si="15"/>
        <v>66.489999999999995</v>
      </c>
      <c r="AJ48" s="7">
        <f t="shared" si="16"/>
        <v>26.55</v>
      </c>
      <c r="AK48" s="10">
        <f t="shared" si="17"/>
        <v>71.459999999999994</v>
      </c>
      <c r="AL48" s="7">
        <f t="shared" si="17"/>
        <v>28.54</v>
      </c>
      <c r="AM48" s="1">
        <f t="shared" si="22"/>
        <v>19.82</v>
      </c>
      <c r="AN48" s="1">
        <f t="shared" si="23"/>
        <v>21.48</v>
      </c>
      <c r="AO48" s="7">
        <f t="shared" si="24"/>
        <v>21.46</v>
      </c>
      <c r="AP48" s="1" t="b">
        <f t="shared" si="18"/>
        <v>0</v>
      </c>
      <c r="AQ48" s="1" t="b">
        <f t="shared" si="18"/>
        <v>0</v>
      </c>
      <c r="AR48" s="7" t="b">
        <f t="shared" si="19"/>
        <v>0</v>
      </c>
      <c r="AS48" s="1">
        <f t="shared" si="20"/>
        <v>1.6600000000000001</v>
      </c>
      <c r="AT48" s="1">
        <f t="shared" si="20"/>
        <v>1.6400000000000006</v>
      </c>
      <c r="AU48" s="7">
        <f t="shared" si="21"/>
        <v>1.9999999999999574E-2</v>
      </c>
      <c r="AV48" s="1">
        <f>ROUND(IF(B48="NSW",N48*Meta!$B$6,N48),1)</f>
        <v>3660.9</v>
      </c>
      <c r="AW48" s="7">
        <f t="shared" si="25"/>
        <v>73791.399999999994</v>
      </c>
    </row>
    <row r="49" spans="1:49" x14ac:dyDescent="0.55000000000000004">
      <c r="A49" s="11" t="s">
        <v>61</v>
      </c>
      <c r="B49" s="7" t="s">
        <v>23</v>
      </c>
      <c r="C49" s="10">
        <v>28.84</v>
      </c>
      <c r="D49" s="10">
        <v>55.87</v>
      </c>
      <c r="E49" s="10">
        <v>0</v>
      </c>
      <c r="F49" s="10">
        <v>1.57</v>
      </c>
      <c r="G49" s="10">
        <v>2.5299999999999998</v>
      </c>
      <c r="H49" s="10">
        <v>6.05</v>
      </c>
      <c r="I49" s="10">
        <v>7.67</v>
      </c>
      <c r="J49" s="7">
        <f t="shared" si="4"/>
        <v>6.71</v>
      </c>
      <c r="K49" s="10">
        <v>62.98</v>
      </c>
      <c r="L49" s="7">
        <v>37.020000000000003</v>
      </c>
      <c r="M49" s="10">
        <v>80641</v>
      </c>
      <c r="N49" s="10">
        <v>4320</v>
      </c>
      <c r="O49" s="7">
        <f t="shared" si="5"/>
        <v>76321</v>
      </c>
      <c r="P49" s="10">
        <f>ROUND($C49+MIN($D49:$E49)*(1-SUMIFS(PrefFlows!$C:$C,PrefFlows!$A:$A,INDEX($D$1:$E$1,MATCH(MIN($D49:$E49),$D49:$E49,0)),PrefFlows!$B:$B,$B49)),2)</f>
        <v>28.84</v>
      </c>
      <c r="Q49" s="10">
        <f>ROUND(MAX($D49:$E49)+MIN($D49:$E49)*SUMIFS(PrefFlows!$C:$C,PrefFlows!$A:$A,INDEX($D$1:$E$1,MATCH(MIN($D49:$E49),$D49:$E49,0)),PrefFlows!$B:$B,$B49),2)</f>
        <v>55.87</v>
      </c>
      <c r="R49" s="10">
        <f t="shared" si="6"/>
        <v>2.5299999999999998</v>
      </c>
      <c r="S49" s="10">
        <f t="shared" si="7"/>
        <v>6.05</v>
      </c>
      <c r="T49" s="7">
        <f t="shared" si="8"/>
        <v>6.71</v>
      </c>
      <c r="U49" s="9">
        <f t="shared" si="9"/>
        <v>27.03</v>
      </c>
      <c r="V49" s="10">
        <f>ROUND($R49*SUMIFS(PrefFlows!$C:$C,PrefFlows!$A:$A,$R$1,PrefFlows!$B:$B,$B49)+$S49*SUMIFS(PrefFlows!$C:$C,PrefFlows!$A:$A,$S$1,PrefFlows!$B:$B,$B49)+$T49*SUMIFS(PrefFlows!$C:$C,PrefFlows!$A:$A,$T$1,PrefFlows!$B:$B,$B49),2)</f>
        <v>6.44</v>
      </c>
      <c r="W49" s="7">
        <f>ROUND($R49*(1-SUMIFS(PrefFlows!$C:$C,PrefFlows!$A:$A,$R$1,PrefFlows!$B:$B,$B49))+$S49*(1-SUMIFS(PrefFlows!$C:$C,PrefFlows!$A:$A,$S$1,PrefFlows!$B:$B,$B49))+$T49*(1-SUMIFS(PrefFlows!$C:$C,PrefFlows!$A:$A,$T$1,PrefFlows!$B:$B,$B49)),2)</f>
        <v>8.85</v>
      </c>
      <c r="X49" s="10">
        <f t="shared" si="10"/>
        <v>7.11</v>
      </c>
      <c r="Y49" s="7">
        <f t="shared" si="11"/>
        <v>8.18</v>
      </c>
      <c r="Z49" s="10">
        <f t="shared" si="12"/>
        <v>0.42120000000000002</v>
      </c>
      <c r="AA49" s="10">
        <f t="shared" si="13"/>
        <v>0.46500000000000002</v>
      </c>
      <c r="AB49" s="10">
        <f t="shared" si="14"/>
        <v>4.3799999999999999E-2</v>
      </c>
      <c r="AC49" s="7">
        <v>4.02517499932099E-2</v>
      </c>
      <c r="AD49" s="10">
        <f>ROUND(R49*(1-(Exhaust!$B$2+AC49)),2)</f>
        <v>1.01</v>
      </c>
      <c r="AE49" s="10">
        <f>ROUND(S49*(1-(Exhaust!$B$3+$AC49)),2)</f>
        <v>3.39</v>
      </c>
      <c r="AF49" s="7">
        <f>ROUND(T49*(1-(Exhaust!$B$4+$AC49)),2)</f>
        <v>3.08</v>
      </c>
      <c r="AG49" s="10">
        <f>ROUND($AD49*(SUMIFS(PrefFlows!$C:$C,PrefFlows!$A:$A,$R$1,PrefFlows!$B:$B,$B49)+$AB49)+$AE49*(SUMIFS(PrefFlows!$C:$C,PrefFlows!$A:$A,$S$1,PrefFlows!$B:$B,$B49)+$AB49)+$AF49*(SUMIFS(PrefFlows!$C:$C,PrefFlows!$A:$A,$T$1,PrefFlows!$B:$B,$B49)+$AB49),2)</f>
        <v>3.35</v>
      </c>
      <c r="AH49" s="7">
        <f>ROUND($AD49*(1-(SUMIFS(PrefFlows!$C:$C,PrefFlows!$A:$A,$R$1,PrefFlows!$B:$B,$B49)+$AB49))+$AE49*(1-(SUMIFS(PrefFlows!$C:$C,PrefFlows!$A:$A,$S$1,PrefFlows!$B:$B,$B49)+$AB49))+$AF49*(1-(SUMIFS(PrefFlows!$C:$C,PrefFlows!$A:$A,$T$1,PrefFlows!$B:$B,$B49)+$AB49)),2)</f>
        <v>4.13</v>
      </c>
      <c r="AI49" s="10">
        <f t="shared" si="15"/>
        <v>59.22</v>
      </c>
      <c r="AJ49" s="7">
        <f t="shared" si="16"/>
        <v>32.97</v>
      </c>
      <c r="AK49" s="10">
        <f t="shared" si="17"/>
        <v>64.239999999999995</v>
      </c>
      <c r="AL49" s="7">
        <f t="shared" si="17"/>
        <v>35.76</v>
      </c>
      <c r="AM49" s="1">
        <f t="shared" si="22"/>
        <v>12.98</v>
      </c>
      <c r="AN49" s="1">
        <f t="shared" si="23"/>
        <v>14.29</v>
      </c>
      <c r="AO49" s="7">
        <f t="shared" si="24"/>
        <v>14.24</v>
      </c>
      <c r="AP49" s="1" t="b">
        <f t="shared" si="18"/>
        <v>0</v>
      </c>
      <c r="AQ49" s="1" t="b">
        <f t="shared" si="18"/>
        <v>0</v>
      </c>
      <c r="AR49" s="7" t="b">
        <f t="shared" si="19"/>
        <v>0</v>
      </c>
      <c r="AS49" s="1">
        <f t="shared" si="20"/>
        <v>1.3099999999999987</v>
      </c>
      <c r="AT49" s="1">
        <f t="shared" si="20"/>
        <v>1.2599999999999998</v>
      </c>
      <c r="AU49" s="7">
        <f t="shared" si="21"/>
        <v>4.9999999999998934E-2</v>
      </c>
      <c r="AV49" s="1">
        <f>ROUND(IF(B49="NSW",N49*Meta!$B$6,N49),1)</f>
        <v>4320</v>
      </c>
      <c r="AW49" s="7">
        <f t="shared" si="25"/>
        <v>71895.7</v>
      </c>
    </row>
    <row r="50" spans="1:49" x14ac:dyDescent="0.55000000000000004">
      <c r="A50" s="11" t="s">
        <v>62</v>
      </c>
      <c r="B50" s="7" t="s">
        <v>10</v>
      </c>
      <c r="C50" s="10">
        <v>30.89</v>
      </c>
      <c r="D50" s="10">
        <v>58.17</v>
      </c>
      <c r="E50" s="10">
        <v>0</v>
      </c>
      <c r="F50" s="10">
        <v>0.86</v>
      </c>
      <c r="G50" s="10">
        <v>0</v>
      </c>
      <c r="H50" s="10">
        <v>6.27</v>
      </c>
      <c r="I50" s="10">
        <v>3.81</v>
      </c>
      <c r="J50" s="7">
        <f t="shared" si="4"/>
        <v>4.67</v>
      </c>
      <c r="K50" s="10">
        <v>61.11</v>
      </c>
      <c r="L50" s="7">
        <v>38.89</v>
      </c>
      <c r="M50" s="10">
        <v>86709</v>
      </c>
      <c r="N50" s="10">
        <v>3765</v>
      </c>
      <c r="O50" s="7">
        <f t="shared" si="5"/>
        <v>82944</v>
      </c>
      <c r="P50" s="10">
        <f>ROUND($C50+MIN($D50:$E50)*(1-SUMIFS(PrefFlows!$C:$C,PrefFlows!$A:$A,INDEX($D$1:$E$1,MATCH(MIN($D50:$E50),$D50:$E50,0)),PrefFlows!$B:$B,$B50)),2)</f>
        <v>30.89</v>
      </c>
      <c r="Q50" s="10">
        <f>ROUND(MAX($D50:$E50)+MIN($D50:$E50)*SUMIFS(PrefFlows!$C:$C,PrefFlows!$A:$A,INDEX($D$1:$E$1,MATCH(MIN($D50:$E50),$D50:$E50,0)),PrefFlows!$B:$B,$B50),2)</f>
        <v>58.17</v>
      </c>
      <c r="R50" s="10">
        <f t="shared" si="6"/>
        <v>0</v>
      </c>
      <c r="S50" s="10">
        <f t="shared" si="7"/>
        <v>6.27</v>
      </c>
      <c r="T50" s="7">
        <f t="shared" si="8"/>
        <v>4.67</v>
      </c>
      <c r="U50" s="9">
        <f t="shared" si="9"/>
        <v>27.28</v>
      </c>
      <c r="V50" s="10">
        <f>ROUND($R50*SUMIFS(PrefFlows!$C:$C,PrefFlows!$A:$A,$R$1,PrefFlows!$B:$B,$B50)+$S50*SUMIFS(PrefFlows!$C:$C,PrefFlows!$A:$A,$S$1,PrefFlows!$B:$B,$B50)+$T50*SUMIFS(PrefFlows!$C:$C,PrefFlows!$A:$A,$T$1,PrefFlows!$B:$B,$B50),2)</f>
        <v>3.51</v>
      </c>
      <c r="W50" s="7">
        <f>ROUND($R50*(1-SUMIFS(PrefFlows!$C:$C,PrefFlows!$A:$A,$R$1,PrefFlows!$B:$B,$B50))+$S50*(1-SUMIFS(PrefFlows!$C:$C,PrefFlows!$A:$A,$S$1,PrefFlows!$B:$B,$B50))+$T50*(1-SUMIFS(PrefFlows!$C:$C,PrefFlows!$A:$A,$T$1,PrefFlows!$B:$B,$B50)),2)</f>
        <v>7.43</v>
      </c>
      <c r="X50" s="10">
        <f t="shared" si="10"/>
        <v>2.94</v>
      </c>
      <c r="Y50" s="7">
        <f t="shared" si="11"/>
        <v>8</v>
      </c>
      <c r="Z50" s="10">
        <f t="shared" si="12"/>
        <v>0.32079999999999997</v>
      </c>
      <c r="AA50" s="10">
        <f t="shared" si="13"/>
        <v>0.26869999999999999</v>
      </c>
      <c r="AB50" s="10">
        <f t="shared" si="14"/>
        <v>-5.21E-2</v>
      </c>
      <c r="AC50" s="7">
        <v>1.16221077232134E-2</v>
      </c>
      <c r="AD50" s="10">
        <f>ROUND(R50*(1-(Exhaust!$B$2+AC50)),2)</f>
        <v>0</v>
      </c>
      <c r="AE50" s="10">
        <f>ROUND(S50*(1-(Exhaust!$B$3+$AC50)),2)</f>
        <v>3.69</v>
      </c>
      <c r="AF50" s="7">
        <f>ROUND(T50*(1-(Exhaust!$B$4+$AC50)),2)</f>
        <v>2.2799999999999998</v>
      </c>
      <c r="AG50" s="10">
        <f>ROUND($AD50*(SUMIFS(PrefFlows!$C:$C,PrefFlows!$A:$A,$R$1,PrefFlows!$B:$B,$B50)+$AB50)+$AE50*(SUMIFS(PrefFlows!$C:$C,PrefFlows!$A:$A,$S$1,PrefFlows!$B:$B,$B50)+$AB50)+$AF50*(SUMIFS(PrefFlows!$C:$C,PrefFlows!$A:$A,$T$1,PrefFlows!$B:$B,$B50)+$AB50),2)</f>
        <v>1.51</v>
      </c>
      <c r="AH50" s="7">
        <f>ROUND($AD50*(1-(SUMIFS(PrefFlows!$C:$C,PrefFlows!$A:$A,$R$1,PrefFlows!$B:$B,$B50)+$AB50))+$AE50*(1-(SUMIFS(PrefFlows!$C:$C,PrefFlows!$A:$A,$S$1,PrefFlows!$B:$B,$B50)+$AB50))+$AF50*(1-(SUMIFS(PrefFlows!$C:$C,PrefFlows!$A:$A,$T$1,PrefFlows!$B:$B,$B50)+$AB50)),2)</f>
        <v>4.46</v>
      </c>
      <c r="AI50" s="10">
        <f t="shared" si="15"/>
        <v>59.68</v>
      </c>
      <c r="AJ50" s="7">
        <f t="shared" si="16"/>
        <v>35.35</v>
      </c>
      <c r="AK50" s="10">
        <f t="shared" si="17"/>
        <v>62.8</v>
      </c>
      <c r="AL50" s="7">
        <f t="shared" si="17"/>
        <v>37.200000000000003</v>
      </c>
      <c r="AM50" s="1">
        <f t="shared" si="22"/>
        <v>11.11</v>
      </c>
      <c r="AN50" s="1">
        <f t="shared" si="23"/>
        <v>13.01</v>
      </c>
      <c r="AO50" s="7">
        <f t="shared" si="24"/>
        <v>12.8</v>
      </c>
      <c r="AP50" s="1" t="b">
        <f t="shared" si="18"/>
        <v>0</v>
      </c>
      <c r="AQ50" s="1" t="b">
        <f t="shared" si="18"/>
        <v>0</v>
      </c>
      <c r="AR50" s="7" t="b">
        <f t="shared" si="19"/>
        <v>0</v>
      </c>
      <c r="AS50" s="1">
        <f t="shared" si="20"/>
        <v>1.9000000000000004</v>
      </c>
      <c r="AT50" s="1">
        <f t="shared" si="20"/>
        <v>1.6900000000000013</v>
      </c>
      <c r="AU50" s="7">
        <f t="shared" si="21"/>
        <v>0.20999999999999908</v>
      </c>
      <c r="AV50" s="1">
        <f>ROUND(IF(B50="NSW",N50*Meta!$B$6,N50),1)</f>
        <v>3765</v>
      </c>
      <c r="AW50" s="7">
        <f t="shared" si="25"/>
        <v>80201</v>
      </c>
    </row>
    <row r="51" spans="1:49" x14ac:dyDescent="0.55000000000000004">
      <c r="A51" s="11" t="s">
        <v>63</v>
      </c>
      <c r="B51" s="7" t="s">
        <v>23</v>
      </c>
      <c r="C51" s="10">
        <v>31</v>
      </c>
      <c r="D51" s="10">
        <v>54.81</v>
      </c>
      <c r="E51" s="10">
        <v>0</v>
      </c>
      <c r="F51" s="10">
        <v>1.35</v>
      </c>
      <c r="G51" s="10">
        <v>3.89</v>
      </c>
      <c r="H51" s="10">
        <v>4.08</v>
      </c>
      <c r="I51" s="10">
        <v>8.76</v>
      </c>
      <c r="J51" s="7">
        <f t="shared" si="4"/>
        <v>6.22</v>
      </c>
      <c r="K51" s="10">
        <v>62.98</v>
      </c>
      <c r="L51" s="7">
        <v>37.020000000000003</v>
      </c>
      <c r="M51" s="10">
        <v>80561</v>
      </c>
      <c r="N51" s="10">
        <v>5143</v>
      </c>
      <c r="O51" s="7">
        <f t="shared" si="5"/>
        <v>75418</v>
      </c>
      <c r="P51" s="10">
        <f>ROUND($C51+MIN($D51:$E51)*(1-SUMIFS(PrefFlows!$C:$C,PrefFlows!$A:$A,INDEX($D$1:$E$1,MATCH(MIN($D51:$E51),$D51:$E51,0)),PrefFlows!$B:$B,$B51)),2)</f>
        <v>31</v>
      </c>
      <c r="Q51" s="10">
        <f>ROUND(MAX($D51:$E51)+MIN($D51:$E51)*SUMIFS(PrefFlows!$C:$C,PrefFlows!$A:$A,INDEX($D$1:$E$1,MATCH(MIN($D51:$E51),$D51:$E51,0)),PrefFlows!$B:$B,$B51),2)</f>
        <v>54.81</v>
      </c>
      <c r="R51" s="10">
        <f t="shared" si="6"/>
        <v>3.89</v>
      </c>
      <c r="S51" s="10">
        <f t="shared" si="7"/>
        <v>4.08</v>
      </c>
      <c r="T51" s="7">
        <f t="shared" si="8"/>
        <v>6.22</v>
      </c>
      <c r="U51" s="9">
        <f t="shared" si="9"/>
        <v>23.81</v>
      </c>
      <c r="V51" s="10">
        <f>ROUND($R51*SUMIFS(PrefFlows!$C:$C,PrefFlows!$A:$A,$R$1,PrefFlows!$B:$B,$B51)+$S51*SUMIFS(PrefFlows!$C:$C,PrefFlows!$A:$A,$S$1,PrefFlows!$B:$B,$B51)+$T51*SUMIFS(PrefFlows!$C:$C,PrefFlows!$A:$A,$T$1,PrefFlows!$B:$B,$B51),2)</f>
        <v>6.51</v>
      </c>
      <c r="W51" s="7">
        <f>ROUND($R51*(1-SUMIFS(PrefFlows!$C:$C,PrefFlows!$A:$A,$R$1,PrefFlows!$B:$B,$B51))+$S51*(1-SUMIFS(PrefFlows!$C:$C,PrefFlows!$A:$A,$S$1,PrefFlows!$B:$B,$B51))+$T51*(1-SUMIFS(PrefFlows!$C:$C,PrefFlows!$A:$A,$T$1,PrefFlows!$B:$B,$B51)),2)</f>
        <v>7.68</v>
      </c>
      <c r="X51" s="10">
        <f t="shared" si="10"/>
        <v>8.17</v>
      </c>
      <c r="Y51" s="7">
        <f t="shared" si="11"/>
        <v>6.02</v>
      </c>
      <c r="Z51" s="10">
        <f t="shared" si="12"/>
        <v>0.45879999999999999</v>
      </c>
      <c r="AA51" s="10">
        <f t="shared" si="13"/>
        <v>0.57579999999999998</v>
      </c>
      <c r="AB51" s="10">
        <f t="shared" si="14"/>
        <v>0.11700000000000001</v>
      </c>
      <c r="AC51" s="7">
        <v>7.4096227695730196E-2</v>
      </c>
      <c r="AD51" s="10">
        <f>ROUND(R51*(1-(Exhaust!$B$2+AC51)),2)</f>
        <v>1.42</v>
      </c>
      <c r="AE51" s="10">
        <f>ROUND(S51*(1-(Exhaust!$B$3+$AC51)),2)</f>
        <v>2.15</v>
      </c>
      <c r="AF51" s="7">
        <f>ROUND(T51*(1-(Exhaust!$B$4+$AC51)),2)</f>
        <v>2.65</v>
      </c>
      <c r="AG51" s="10">
        <f>ROUND($AD51*(SUMIFS(PrefFlows!$C:$C,PrefFlows!$A:$A,$R$1,PrefFlows!$B:$B,$B51)+$AB51)+$AE51*(SUMIFS(PrefFlows!$C:$C,PrefFlows!$A:$A,$S$1,PrefFlows!$B:$B,$B51)+$AB51)+$AF51*(SUMIFS(PrefFlows!$C:$C,PrefFlows!$A:$A,$T$1,PrefFlows!$B:$B,$B51)+$AB51),2)</f>
        <v>3.46</v>
      </c>
      <c r="AH51" s="7">
        <f>ROUND($AD51*(1-(SUMIFS(PrefFlows!$C:$C,PrefFlows!$A:$A,$R$1,PrefFlows!$B:$B,$B51)+$AB51))+$AE51*(1-(SUMIFS(PrefFlows!$C:$C,PrefFlows!$A:$A,$S$1,PrefFlows!$B:$B,$B51)+$AB51))+$AF51*(1-(SUMIFS(PrefFlows!$C:$C,PrefFlows!$A:$A,$T$1,PrefFlows!$B:$B,$B51)+$AB51)),2)</f>
        <v>2.76</v>
      </c>
      <c r="AI51" s="10">
        <f t="shared" si="15"/>
        <v>58.27</v>
      </c>
      <c r="AJ51" s="7">
        <f t="shared" si="16"/>
        <v>33.76</v>
      </c>
      <c r="AK51" s="10">
        <f t="shared" si="17"/>
        <v>63.32</v>
      </c>
      <c r="AL51" s="7">
        <f t="shared" si="17"/>
        <v>36.68</v>
      </c>
      <c r="AM51" s="1">
        <f t="shared" si="22"/>
        <v>12.98</v>
      </c>
      <c r="AN51" s="1">
        <f t="shared" si="23"/>
        <v>13.37</v>
      </c>
      <c r="AO51" s="7">
        <f t="shared" si="24"/>
        <v>13.32</v>
      </c>
      <c r="AP51" s="1" t="b">
        <f t="shared" si="18"/>
        <v>0</v>
      </c>
      <c r="AQ51" s="1" t="b">
        <f t="shared" si="18"/>
        <v>0</v>
      </c>
      <c r="AR51" s="7" t="b">
        <f t="shared" si="19"/>
        <v>0</v>
      </c>
      <c r="AS51" s="1">
        <f t="shared" si="20"/>
        <v>0.38999999999999879</v>
      </c>
      <c r="AT51" s="1">
        <f t="shared" si="20"/>
        <v>0.33999999999999986</v>
      </c>
      <c r="AU51" s="7">
        <f t="shared" si="21"/>
        <v>4.9999999999998934E-2</v>
      </c>
      <c r="AV51" s="1">
        <f>ROUND(IF(B51="NSW",N51*Meta!$B$6,N51),1)</f>
        <v>5143</v>
      </c>
      <c r="AW51" s="7">
        <f t="shared" si="25"/>
        <v>71231.899999999994</v>
      </c>
    </row>
    <row r="52" spans="1:49" x14ac:dyDescent="0.55000000000000004">
      <c r="A52" s="11" t="s">
        <v>64</v>
      </c>
      <c r="B52" s="7" t="s">
        <v>31</v>
      </c>
      <c r="C52" s="10">
        <v>27.93</v>
      </c>
      <c r="D52" s="10">
        <v>53.42</v>
      </c>
      <c r="E52" s="10">
        <v>0</v>
      </c>
      <c r="F52" s="10">
        <v>1.69</v>
      </c>
      <c r="G52" s="10">
        <v>3.44</v>
      </c>
      <c r="H52" s="10">
        <v>8.4499999999999993</v>
      </c>
      <c r="I52" s="10">
        <v>8.51</v>
      </c>
      <c r="J52" s="7">
        <f t="shared" si="4"/>
        <v>6.76</v>
      </c>
      <c r="K52" s="10">
        <v>60.45</v>
      </c>
      <c r="L52" s="7">
        <v>39.549999999999997</v>
      </c>
      <c r="M52" s="10">
        <v>82048</v>
      </c>
      <c r="N52" s="10">
        <v>4512</v>
      </c>
      <c r="O52" s="7">
        <f t="shared" si="5"/>
        <v>77536</v>
      </c>
      <c r="P52" s="10">
        <f>ROUND($C52+MIN($D52:$E52)*(1-SUMIFS(PrefFlows!$C:$C,PrefFlows!$A:$A,INDEX($D$1:$E$1,MATCH(MIN($D52:$E52),$D52:$E52,0)),PrefFlows!$B:$B,$B52)),2)</f>
        <v>27.93</v>
      </c>
      <c r="Q52" s="10">
        <f>ROUND(MAX($D52:$E52)+MIN($D52:$E52)*SUMIFS(PrefFlows!$C:$C,PrefFlows!$A:$A,INDEX($D$1:$E$1,MATCH(MIN($D52:$E52),$D52:$E52,0)),PrefFlows!$B:$B,$B52),2)</f>
        <v>53.42</v>
      </c>
      <c r="R52" s="10">
        <f t="shared" si="6"/>
        <v>3.44</v>
      </c>
      <c r="S52" s="10">
        <f t="shared" si="7"/>
        <v>8.4499999999999993</v>
      </c>
      <c r="T52" s="7">
        <f t="shared" si="8"/>
        <v>6.76</v>
      </c>
      <c r="U52" s="9">
        <f t="shared" si="9"/>
        <v>25.49</v>
      </c>
      <c r="V52" s="10">
        <f>ROUND($R52*SUMIFS(PrefFlows!$C:$C,PrefFlows!$A:$A,$R$1,PrefFlows!$B:$B,$B52)+$S52*SUMIFS(PrefFlows!$C:$C,PrefFlows!$A:$A,$S$1,PrefFlows!$B:$B,$B52)+$T52*SUMIFS(PrefFlows!$C:$C,PrefFlows!$A:$A,$T$1,PrefFlows!$B:$B,$B52),2)</f>
        <v>7.38</v>
      </c>
      <c r="W52" s="7">
        <f>ROUND($R52*(1-SUMIFS(PrefFlows!$C:$C,PrefFlows!$A:$A,$R$1,PrefFlows!$B:$B,$B52))+$S52*(1-SUMIFS(PrefFlows!$C:$C,PrefFlows!$A:$A,$S$1,PrefFlows!$B:$B,$B52))+$T52*(1-SUMIFS(PrefFlows!$C:$C,PrefFlows!$A:$A,$T$1,PrefFlows!$B:$B,$B52)),2)</f>
        <v>11.27</v>
      </c>
      <c r="X52" s="10">
        <f t="shared" si="10"/>
        <v>7.03</v>
      </c>
      <c r="Y52" s="7">
        <f t="shared" si="11"/>
        <v>11.62</v>
      </c>
      <c r="Z52" s="10">
        <f t="shared" si="12"/>
        <v>0.3957</v>
      </c>
      <c r="AA52" s="10">
        <f t="shared" si="13"/>
        <v>0.37690000000000001</v>
      </c>
      <c r="AB52" s="10">
        <f t="shared" si="14"/>
        <v>-1.8800000000000001E-2</v>
      </c>
      <c r="AC52" s="7">
        <v>4.1187671917100002E-2</v>
      </c>
      <c r="AD52" s="10">
        <f>ROUND(R52*(1-(Exhaust!$B$2+AC52)),2)</f>
        <v>1.37</v>
      </c>
      <c r="AE52" s="10">
        <f>ROUND(S52*(1-(Exhaust!$B$3+$AC52)),2)</f>
        <v>4.72</v>
      </c>
      <c r="AF52" s="7">
        <f>ROUND(T52*(1-(Exhaust!$B$4+$AC52)),2)</f>
        <v>3.1</v>
      </c>
      <c r="AG52" s="10">
        <f>ROUND($AD52*(SUMIFS(PrefFlows!$C:$C,PrefFlows!$A:$A,$R$1,PrefFlows!$B:$B,$B52)+$AB52)+$AE52*(SUMIFS(PrefFlows!$C:$C,PrefFlows!$A:$A,$S$1,PrefFlows!$B:$B,$B52)+$AB52)+$AF52*(SUMIFS(PrefFlows!$C:$C,PrefFlows!$A:$A,$T$1,PrefFlows!$B:$B,$B52)+$AB52),2)</f>
        <v>3.28</v>
      </c>
      <c r="AH52" s="7">
        <f>ROUND($AD52*(1-(SUMIFS(PrefFlows!$C:$C,PrefFlows!$A:$A,$R$1,PrefFlows!$B:$B,$B52)+$AB52))+$AE52*(1-(SUMIFS(PrefFlows!$C:$C,PrefFlows!$A:$A,$S$1,PrefFlows!$B:$B,$B52)+$AB52))+$AF52*(1-(SUMIFS(PrefFlows!$C:$C,PrefFlows!$A:$A,$T$1,PrefFlows!$B:$B,$B52)+$AB52)),2)</f>
        <v>5.91</v>
      </c>
      <c r="AI52" s="10">
        <f t="shared" si="15"/>
        <v>56.7</v>
      </c>
      <c r="AJ52" s="7">
        <f t="shared" si="16"/>
        <v>33.840000000000003</v>
      </c>
      <c r="AK52" s="10">
        <f t="shared" si="17"/>
        <v>62.62</v>
      </c>
      <c r="AL52" s="7">
        <f t="shared" si="17"/>
        <v>37.380000000000003</v>
      </c>
      <c r="AM52" s="1">
        <f t="shared" si="22"/>
        <v>10.45</v>
      </c>
      <c r="AN52" s="1">
        <f t="shared" si="23"/>
        <v>12.69</v>
      </c>
      <c r="AO52" s="7">
        <f t="shared" si="24"/>
        <v>12.62</v>
      </c>
      <c r="AP52" s="1" t="b">
        <f t="shared" si="18"/>
        <v>0</v>
      </c>
      <c r="AQ52" s="1" t="b">
        <f t="shared" si="18"/>
        <v>0</v>
      </c>
      <c r="AR52" s="7" t="b">
        <f t="shared" si="19"/>
        <v>0</v>
      </c>
      <c r="AS52" s="1">
        <f t="shared" si="20"/>
        <v>2.2400000000000002</v>
      </c>
      <c r="AT52" s="1">
        <f t="shared" si="20"/>
        <v>2.17</v>
      </c>
      <c r="AU52" s="7">
        <f t="shared" si="21"/>
        <v>7.0000000000000284E-2</v>
      </c>
      <c r="AV52" s="1">
        <f>ROUND(IF(B52="NSW",N52*Meta!$B$6,N52),1)</f>
        <v>4512</v>
      </c>
      <c r="AW52" s="7">
        <f t="shared" si="25"/>
        <v>71776</v>
      </c>
    </row>
    <row r="53" spans="1:49" x14ac:dyDescent="0.55000000000000004">
      <c r="A53" s="11" t="s">
        <v>65</v>
      </c>
      <c r="B53" s="7" t="s">
        <v>13</v>
      </c>
      <c r="C53" s="10">
        <v>62.78</v>
      </c>
      <c r="D53" s="10">
        <v>25.96</v>
      </c>
      <c r="E53" s="10">
        <v>0</v>
      </c>
      <c r="F53" s="10">
        <v>0</v>
      </c>
      <c r="G53" s="10">
        <v>0</v>
      </c>
      <c r="H53" s="10">
        <v>7.34</v>
      </c>
      <c r="I53" s="10">
        <v>3.92</v>
      </c>
      <c r="J53" s="7">
        <f t="shared" si="4"/>
        <v>3.92</v>
      </c>
      <c r="K53" s="10">
        <v>28.64</v>
      </c>
      <c r="L53" s="7">
        <v>71.36</v>
      </c>
      <c r="M53" s="10">
        <v>77362</v>
      </c>
      <c r="N53" s="10">
        <v>7048</v>
      </c>
      <c r="O53" s="7">
        <f t="shared" si="5"/>
        <v>70314</v>
      </c>
      <c r="P53" s="10">
        <f>ROUND($C53+MIN($D53:$E53)*(1-SUMIFS(PrefFlows!$C:$C,PrefFlows!$A:$A,INDEX($D$1:$E$1,MATCH(MIN($D53:$E53),$D53:$E53,0)),PrefFlows!$B:$B,$B53)),2)</f>
        <v>62.78</v>
      </c>
      <c r="Q53" s="10">
        <f>ROUND(MAX($D53:$E53)+MIN($D53:$E53)*SUMIFS(PrefFlows!$C:$C,PrefFlows!$A:$A,INDEX($D$1:$E$1,MATCH(MIN($D53:$E53),$D53:$E53,0)),PrefFlows!$B:$B,$B53),2)</f>
        <v>25.96</v>
      </c>
      <c r="R53" s="10">
        <f t="shared" si="6"/>
        <v>0</v>
      </c>
      <c r="S53" s="10">
        <f t="shared" si="7"/>
        <v>7.34</v>
      </c>
      <c r="T53" s="7">
        <f t="shared" si="8"/>
        <v>3.92</v>
      </c>
      <c r="U53" s="9">
        <f t="shared" si="9"/>
        <v>-36.82</v>
      </c>
      <c r="V53" s="10">
        <f>ROUND($R53*SUMIFS(PrefFlows!$C:$C,PrefFlows!$A:$A,$R$1,PrefFlows!$B:$B,$B53)+$S53*SUMIFS(PrefFlows!$C:$C,PrefFlows!$A:$A,$S$1,PrefFlows!$B:$B,$B53)+$T53*SUMIFS(PrefFlows!$C:$C,PrefFlows!$A:$A,$T$1,PrefFlows!$B:$B,$B53),2)</f>
        <v>3.36</v>
      </c>
      <c r="W53" s="7">
        <f>ROUND($R53*(1-SUMIFS(PrefFlows!$C:$C,PrefFlows!$A:$A,$R$1,PrefFlows!$B:$B,$B53))+$S53*(1-SUMIFS(PrefFlows!$C:$C,PrefFlows!$A:$A,$S$1,PrefFlows!$B:$B,$B53))+$T53*(1-SUMIFS(PrefFlows!$C:$C,PrefFlows!$A:$A,$T$1,PrefFlows!$B:$B,$B53)),2)</f>
        <v>7.9</v>
      </c>
      <c r="X53" s="10">
        <f t="shared" si="10"/>
        <v>2.68</v>
      </c>
      <c r="Y53" s="7">
        <f t="shared" si="11"/>
        <v>8.58</v>
      </c>
      <c r="Z53" s="10">
        <f t="shared" si="12"/>
        <v>0.2984</v>
      </c>
      <c r="AA53" s="10">
        <f t="shared" si="13"/>
        <v>0.23799999999999999</v>
      </c>
      <c r="AB53" s="10">
        <f t="shared" si="14"/>
        <v>-6.0400000000000002E-2</v>
      </c>
      <c r="AC53" s="7">
        <v>0.126774016777743</v>
      </c>
      <c r="AD53" s="10">
        <f>ROUND(R53*(1-(Exhaust!$B$2+AC53)),2)</f>
        <v>0</v>
      </c>
      <c r="AE53" s="10">
        <f>ROUND(S53*(1-(Exhaust!$B$3+$AC53)),2)</f>
        <v>3.47</v>
      </c>
      <c r="AF53" s="7">
        <f>ROUND(T53*(1-(Exhaust!$B$4+$AC53)),2)</f>
        <v>1.46</v>
      </c>
      <c r="AG53" s="10">
        <f>ROUND($AD53*(SUMIFS(PrefFlows!$C:$C,PrefFlows!$A:$A,$R$1,PrefFlows!$B:$B,$B53)+$AB53)+$AE53*(SUMIFS(PrefFlows!$C:$C,PrefFlows!$A:$A,$S$1,PrefFlows!$B:$B,$B53)+$AB53)+$AF53*(SUMIFS(PrefFlows!$C:$C,PrefFlows!$A:$A,$T$1,PrefFlows!$B:$B,$B53)+$AB53),2)</f>
        <v>1.08</v>
      </c>
      <c r="AH53" s="7">
        <f>ROUND($AD53*(1-(SUMIFS(PrefFlows!$C:$C,PrefFlows!$A:$A,$R$1,PrefFlows!$B:$B,$B53)+$AB53))+$AE53*(1-(SUMIFS(PrefFlows!$C:$C,PrefFlows!$A:$A,$S$1,PrefFlows!$B:$B,$B53)+$AB53))+$AF53*(1-(SUMIFS(PrefFlows!$C:$C,PrefFlows!$A:$A,$T$1,PrefFlows!$B:$B,$B53)+$AB53)),2)</f>
        <v>3.85</v>
      </c>
      <c r="AI53" s="10">
        <f t="shared" si="15"/>
        <v>27.04</v>
      </c>
      <c r="AJ53" s="7">
        <f t="shared" si="16"/>
        <v>66.63</v>
      </c>
      <c r="AK53" s="10">
        <f t="shared" si="17"/>
        <v>28.87</v>
      </c>
      <c r="AL53" s="7">
        <f t="shared" si="17"/>
        <v>71.13</v>
      </c>
      <c r="AM53" s="1">
        <f t="shared" si="22"/>
        <v>-21.36</v>
      </c>
      <c r="AN53" s="1">
        <f t="shared" si="23"/>
        <v>-21.08</v>
      </c>
      <c r="AO53" s="7">
        <f t="shared" si="24"/>
        <v>-21.13</v>
      </c>
      <c r="AP53" s="1" t="b">
        <f t="shared" si="18"/>
        <v>0</v>
      </c>
      <c r="AQ53" s="1" t="b">
        <f t="shared" si="18"/>
        <v>0</v>
      </c>
      <c r="AR53" s="7" t="b">
        <f t="shared" si="19"/>
        <v>0</v>
      </c>
      <c r="AS53" s="1">
        <f t="shared" si="20"/>
        <v>0.28000000000000114</v>
      </c>
      <c r="AT53" s="1">
        <f t="shared" si="20"/>
        <v>0.23000000000000043</v>
      </c>
      <c r="AU53" s="7">
        <f t="shared" si="21"/>
        <v>5.0000000000000711E-2</v>
      </c>
      <c r="AV53" s="1">
        <f>ROUND(IF(B53="NSW",N53*Meta!$B$6,N53),1)</f>
        <v>4722.2</v>
      </c>
      <c r="AW53" s="7">
        <f t="shared" si="25"/>
        <v>69746.899999999994</v>
      </c>
    </row>
    <row r="54" spans="1:49" x14ac:dyDescent="0.55000000000000004">
      <c r="A54" s="11" t="s">
        <v>66</v>
      </c>
      <c r="B54" s="7" t="s">
        <v>17</v>
      </c>
      <c r="C54" s="10">
        <v>46.42</v>
      </c>
      <c r="D54" s="10">
        <v>38.67</v>
      </c>
      <c r="E54" s="10">
        <v>0</v>
      </c>
      <c r="F54" s="10">
        <v>0</v>
      </c>
      <c r="G54" s="10">
        <v>0</v>
      </c>
      <c r="H54" s="10">
        <v>11.18</v>
      </c>
      <c r="I54" s="10">
        <v>3.73</v>
      </c>
      <c r="J54" s="7">
        <f t="shared" si="4"/>
        <v>3.73</v>
      </c>
      <c r="K54" s="10">
        <v>42.41</v>
      </c>
      <c r="L54" s="7">
        <v>57.59</v>
      </c>
      <c r="M54" s="10">
        <v>66759</v>
      </c>
      <c r="N54" s="10">
        <v>2270</v>
      </c>
      <c r="O54" s="7">
        <f t="shared" si="5"/>
        <v>64489</v>
      </c>
      <c r="P54" s="10">
        <f>ROUND($C54+MIN($D54:$E54)*(1-SUMIFS(PrefFlows!$C:$C,PrefFlows!$A:$A,INDEX($D$1:$E$1,MATCH(MIN($D54:$E54),$D54:$E54,0)),PrefFlows!$B:$B,$B54)),2)</f>
        <v>46.42</v>
      </c>
      <c r="Q54" s="10">
        <f>ROUND(MAX($D54:$E54)+MIN($D54:$E54)*SUMIFS(PrefFlows!$C:$C,PrefFlows!$A:$A,INDEX($D$1:$E$1,MATCH(MIN($D54:$E54),$D54:$E54,0)),PrefFlows!$B:$B,$B54),2)</f>
        <v>38.67</v>
      </c>
      <c r="R54" s="10">
        <f t="shared" si="6"/>
        <v>0</v>
      </c>
      <c r="S54" s="10">
        <f t="shared" si="7"/>
        <v>11.18</v>
      </c>
      <c r="T54" s="7">
        <f t="shared" si="8"/>
        <v>3.73</v>
      </c>
      <c r="U54" s="9">
        <f t="shared" si="9"/>
        <v>-7.75</v>
      </c>
      <c r="V54" s="10">
        <f>ROUND($R54*SUMIFS(PrefFlows!$C:$C,PrefFlows!$A:$A,$R$1,PrefFlows!$B:$B,$B54)+$S54*SUMIFS(PrefFlows!$C:$C,PrefFlows!$A:$A,$S$1,PrefFlows!$B:$B,$B54)+$T54*SUMIFS(PrefFlows!$C:$C,PrefFlows!$A:$A,$T$1,PrefFlows!$B:$B,$B54),2)</f>
        <v>4.1500000000000004</v>
      </c>
      <c r="W54" s="7">
        <f>ROUND($R54*(1-SUMIFS(PrefFlows!$C:$C,PrefFlows!$A:$A,$R$1,PrefFlows!$B:$B,$B54))+$S54*(1-SUMIFS(PrefFlows!$C:$C,PrefFlows!$A:$A,$S$1,PrefFlows!$B:$B,$B54))+$T54*(1-SUMIFS(PrefFlows!$C:$C,PrefFlows!$A:$A,$T$1,PrefFlows!$B:$B,$B54)),2)</f>
        <v>10.76</v>
      </c>
      <c r="X54" s="10">
        <f t="shared" si="10"/>
        <v>3.74</v>
      </c>
      <c r="Y54" s="7">
        <f t="shared" si="11"/>
        <v>11.17</v>
      </c>
      <c r="Z54" s="10">
        <f t="shared" si="12"/>
        <v>0.27829999999999999</v>
      </c>
      <c r="AA54" s="10">
        <f t="shared" si="13"/>
        <v>0.25080000000000002</v>
      </c>
      <c r="AB54" s="10">
        <f t="shared" si="14"/>
        <v>-2.75E-2</v>
      </c>
      <c r="AC54" s="7">
        <v>2.5419581784824602E-4</v>
      </c>
      <c r="AD54" s="10">
        <f>ROUND(R54*(1-(Exhaust!$B$2+AC54)),2)</f>
        <v>0</v>
      </c>
      <c r="AE54" s="10">
        <f>ROUND(S54*(1-(Exhaust!$B$3+$AC54)),2)</f>
        <v>6.71</v>
      </c>
      <c r="AF54" s="7">
        <f>ROUND(T54*(1-(Exhaust!$B$4+$AC54)),2)</f>
        <v>1.86</v>
      </c>
      <c r="AG54" s="10">
        <f>ROUND($AD54*(SUMIFS(PrefFlows!$C:$C,PrefFlows!$A:$A,$R$1,PrefFlows!$B:$B,$B54)+$AB54)+$AE54*(SUMIFS(PrefFlows!$C:$C,PrefFlows!$A:$A,$S$1,PrefFlows!$B:$B,$B54)+$AB54)+$AF54*(SUMIFS(PrefFlows!$C:$C,PrefFlows!$A:$A,$T$1,PrefFlows!$B:$B,$B54)+$AB54),2)</f>
        <v>2.0499999999999998</v>
      </c>
      <c r="AH54" s="7">
        <f>ROUND($AD54*(1-(SUMIFS(PrefFlows!$C:$C,PrefFlows!$A:$A,$R$1,PrefFlows!$B:$B,$B54)+$AB54))+$AE54*(1-(SUMIFS(PrefFlows!$C:$C,PrefFlows!$A:$A,$S$1,PrefFlows!$B:$B,$B54)+$AB54))+$AF54*(1-(SUMIFS(PrefFlows!$C:$C,PrefFlows!$A:$A,$T$1,PrefFlows!$B:$B,$B54)+$AB54)),2)</f>
        <v>6.52</v>
      </c>
      <c r="AI54" s="10">
        <f t="shared" si="15"/>
        <v>40.72</v>
      </c>
      <c r="AJ54" s="7">
        <f t="shared" si="16"/>
        <v>52.94</v>
      </c>
      <c r="AK54" s="10">
        <f t="shared" si="17"/>
        <v>43.48</v>
      </c>
      <c r="AL54" s="7">
        <f t="shared" si="17"/>
        <v>56.52</v>
      </c>
      <c r="AM54" s="1">
        <f t="shared" si="22"/>
        <v>-7.59</v>
      </c>
      <c r="AN54" s="1">
        <f t="shared" si="23"/>
        <v>-6.25</v>
      </c>
      <c r="AO54" s="7">
        <f t="shared" si="24"/>
        <v>-6.52</v>
      </c>
      <c r="AP54" s="1" t="b">
        <f t="shared" si="18"/>
        <v>0</v>
      </c>
      <c r="AQ54" s="1" t="b">
        <f t="shared" si="18"/>
        <v>0</v>
      </c>
      <c r="AR54" s="7" t="b">
        <f t="shared" si="19"/>
        <v>0</v>
      </c>
      <c r="AS54" s="1">
        <f t="shared" si="20"/>
        <v>1.3399999999999999</v>
      </c>
      <c r="AT54" s="1">
        <f t="shared" si="20"/>
        <v>1.0700000000000003</v>
      </c>
      <c r="AU54" s="7">
        <f t="shared" si="21"/>
        <v>0.26999999999999957</v>
      </c>
      <c r="AV54" s="1">
        <f>ROUND(IF(B54="NSW",N54*Meta!$B$6,N54),1)</f>
        <v>2270</v>
      </c>
      <c r="AW54" s="7">
        <f t="shared" si="25"/>
        <v>61220</v>
      </c>
    </row>
    <row r="55" spans="1:49" x14ac:dyDescent="0.55000000000000004">
      <c r="A55" s="11" t="s">
        <v>67</v>
      </c>
      <c r="B55" s="7" t="s">
        <v>37</v>
      </c>
      <c r="C55" s="10">
        <v>50.6</v>
      </c>
      <c r="D55" s="10">
        <v>33.6</v>
      </c>
      <c r="E55" s="10">
        <v>0</v>
      </c>
      <c r="F55" s="10">
        <v>2.59</v>
      </c>
      <c r="G55" s="10">
        <v>0</v>
      </c>
      <c r="H55" s="10">
        <v>11.3</v>
      </c>
      <c r="I55" s="10">
        <v>1.91</v>
      </c>
      <c r="J55" s="7">
        <f t="shared" si="4"/>
        <v>4.5</v>
      </c>
      <c r="K55" s="10">
        <v>36.67</v>
      </c>
      <c r="L55" s="7">
        <v>63.33</v>
      </c>
      <c r="M55" s="10">
        <v>111835</v>
      </c>
      <c r="N55" s="10">
        <v>3887</v>
      </c>
      <c r="O55" s="7">
        <f t="shared" si="5"/>
        <v>107948</v>
      </c>
      <c r="P55" s="10">
        <f>ROUND($C55+MIN($D55:$E55)*(1-SUMIFS(PrefFlows!$C:$C,PrefFlows!$A:$A,INDEX($D$1:$E$1,MATCH(MIN($D55:$E55),$D55:$E55,0)),PrefFlows!$B:$B,$B55)),2)</f>
        <v>50.6</v>
      </c>
      <c r="Q55" s="10">
        <f>ROUND(MAX($D55:$E55)+MIN($D55:$E55)*SUMIFS(PrefFlows!$C:$C,PrefFlows!$A:$A,INDEX($D$1:$E$1,MATCH(MIN($D55:$E55),$D55:$E55,0)),PrefFlows!$B:$B,$B55),2)</f>
        <v>33.6</v>
      </c>
      <c r="R55" s="10">
        <f t="shared" si="6"/>
        <v>0</v>
      </c>
      <c r="S55" s="10">
        <f t="shared" si="7"/>
        <v>11.3</v>
      </c>
      <c r="T55" s="7">
        <f t="shared" si="8"/>
        <v>4.5</v>
      </c>
      <c r="U55" s="9">
        <f t="shared" si="9"/>
        <v>-17</v>
      </c>
      <c r="V55" s="10">
        <f>ROUND($R55*SUMIFS(PrefFlows!$C:$C,PrefFlows!$A:$A,$R$1,PrefFlows!$B:$B,$B55)+$S55*SUMIFS(PrefFlows!$C:$C,PrefFlows!$A:$A,$S$1,PrefFlows!$B:$B,$B55)+$T55*SUMIFS(PrefFlows!$C:$C,PrefFlows!$A:$A,$T$1,PrefFlows!$B:$B,$B55),2)</f>
        <v>4.5</v>
      </c>
      <c r="W55" s="7">
        <f>ROUND($R55*(1-SUMIFS(PrefFlows!$C:$C,PrefFlows!$A:$A,$R$1,PrefFlows!$B:$B,$B55))+$S55*(1-SUMIFS(PrefFlows!$C:$C,PrefFlows!$A:$A,$S$1,PrefFlows!$B:$B,$B55))+$T55*(1-SUMIFS(PrefFlows!$C:$C,PrefFlows!$A:$A,$T$1,PrefFlows!$B:$B,$B55)),2)</f>
        <v>11.3</v>
      </c>
      <c r="X55" s="10">
        <f t="shared" si="10"/>
        <v>3.07</v>
      </c>
      <c r="Y55" s="7">
        <f t="shared" si="11"/>
        <v>12.73</v>
      </c>
      <c r="Z55" s="10">
        <f t="shared" si="12"/>
        <v>0.2848</v>
      </c>
      <c r="AA55" s="10">
        <f t="shared" si="13"/>
        <v>0.1943</v>
      </c>
      <c r="AB55" s="10">
        <f t="shared" si="14"/>
        <v>-9.0499999999999997E-2</v>
      </c>
      <c r="AC55" s="7">
        <v>-0.183704035388153</v>
      </c>
      <c r="AD55" s="10">
        <f>ROUND(R55*(1-(Exhaust!$B$2+AC55)),2)</f>
        <v>0</v>
      </c>
      <c r="AE55" s="10">
        <f>ROUND(S55*(1-(Exhaust!$B$3+$AC55)),2)</f>
        <v>8.86</v>
      </c>
      <c r="AF55" s="7">
        <f>ROUND(T55*(1-(Exhaust!$B$4+$AC55)),2)</f>
        <v>3.08</v>
      </c>
      <c r="AG55" s="10">
        <f>ROUND($AD55*(SUMIFS(PrefFlows!$C:$C,PrefFlows!$A:$A,$R$1,PrefFlows!$B:$B,$B55)+$AB55)+$AE55*(SUMIFS(PrefFlows!$C:$C,PrefFlows!$A:$A,$S$1,PrefFlows!$B:$B,$B55)+$AB55)+$AF55*(SUMIFS(PrefFlows!$C:$C,PrefFlows!$A:$A,$T$1,PrefFlows!$B:$B,$B55)+$AB55),2)</f>
        <v>2.2000000000000002</v>
      </c>
      <c r="AH55" s="7">
        <f>ROUND($AD55*(1-(SUMIFS(PrefFlows!$C:$C,PrefFlows!$A:$A,$R$1,PrefFlows!$B:$B,$B55)+$AB55))+$AE55*(1-(SUMIFS(PrefFlows!$C:$C,PrefFlows!$A:$A,$S$1,PrefFlows!$B:$B,$B55)+$AB55))+$AF55*(1-(SUMIFS(PrefFlows!$C:$C,PrefFlows!$A:$A,$T$1,PrefFlows!$B:$B,$B55)+$AB55)),2)</f>
        <v>9.74</v>
      </c>
      <c r="AI55" s="10">
        <f t="shared" si="15"/>
        <v>35.799999999999997</v>
      </c>
      <c r="AJ55" s="7">
        <f t="shared" si="16"/>
        <v>60.34</v>
      </c>
      <c r="AK55" s="10">
        <f t="shared" si="17"/>
        <v>37.24</v>
      </c>
      <c r="AL55" s="7">
        <f t="shared" si="17"/>
        <v>62.76</v>
      </c>
      <c r="AM55" s="1">
        <f t="shared" si="22"/>
        <v>-13.33</v>
      </c>
      <c r="AN55" s="1">
        <f t="shared" si="23"/>
        <v>-11.92</v>
      </c>
      <c r="AO55" s="7">
        <f t="shared" si="24"/>
        <v>-12.76</v>
      </c>
      <c r="AP55" s="1" t="b">
        <f t="shared" si="18"/>
        <v>0</v>
      </c>
      <c r="AQ55" s="1" t="b">
        <f t="shared" si="18"/>
        <v>0</v>
      </c>
      <c r="AR55" s="7" t="b">
        <f t="shared" si="19"/>
        <v>0</v>
      </c>
      <c r="AS55" s="1">
        <f t="shared" si="20"/>
        <v>1.4100000000000001</v>
      </c>
      <c r="AT55" s="1">
        <f t="shared" si="20"/>
        <v>0.57000000000000028</v>
      </c>
      <c r="AU55" s="7">
        <f t="shared" si="21"/>
        <v>0.83999999999999986</v>
      </c>
      <c r="AV55" s="1">
        <f>ROUND(IF(B55="NSW",N55*Meta!$B$6,N55),1)</f>
        <v>3887</v>
      </c>
      <c r="AW55" s="7">
        <f t="shared" si="25"/>
        <v>105221.9</v>
      </c>
    </row>
    <row r="56" spans="1:49" x14ac:dyDescent="0.55000000000000004">
      <c r="A56" s="11" t="s">
        <v>68</v>
      </c>
      <c r="B56" s="7" t="s">
        <v>31</v>
      </c>
      <c r="C56" s="10">
        <v>44.58</v>
      </c>
      <c r="D56" s="10">
        <v>35.94</v>
      </c>
      <c r="E56" s="10">
        <v>0</v>
      </c>
      <c r="F56" s="10">
        <v>1.69</v>
      </c>
      <c r="G56" s="10">
        <v>2.3199999999999998</v>
      </c>
      <c r="H56" s="10">
        <v>11.78</v>
      </c>
      <c r="I56" s="10">
        <v>6.01</v>
      </c>
      <c r="J56" s="7">
        <f t="shared" si="4"/>
        <v>5.38</v>
      </c>
      <c r="K56" s="10">
        <v>42.24</v>
      </c>
      <c r="L56" s="7">
        <v>57.76</v>
      </c>
      <c r="M56" s="10">
        <v>78010</v>
      </c>
      <c r="N56" s="10">
        <v>5344</v>
      </c>
      <c r="O56" s="7">
        <f t="shared" si="5"/>
        <v>72666</v>
      </c>
      <c r="P56" s="10">
        <f>ROUND($C56+MIN($D56:$E56)*(1-SUMIFS(PrefFlows!$C:$C,PrefFlows!$A:$A,INDEX($D$1:$E$1,MATCH(MIN($D56:$E56),$D56:$E56,0)),PrefFlows!$B:$B,$B56)),2)</f>
        <v>44.58</v>
      </c>
      <c r="Q56" s="10">
        <f>ROUND(MAX($D56:$E56)+MIN($D56:$E56)*SUMIFS(PrefFlows!$C:$C,PrefFlows!$A:$A,INDEX($D$1:$E$1,MATCH(MIN($D56:$E56),$D56:$E56,0)),PrefFlows!$B:$B,$B56),2)</f>
        <v>35.94</v>
      </c>
      <c r="R56" s="10">
        <f t="shared" si="6"/>
        <v>2.3199999999999998</v>
      </c>
      <c r="S56" s="10">
        <f t="shared" si="7"/>
        <v>11.78</v>
      </c>
      <c r="T56" s="7">
        <f t="shared" si="8"/>
        <v>5.38</v>
      </c>
      <c r="U56" s="9">
        <f t="shared" si="9"/>
        <v>-8.64</v>
      </c>
      <c r="V56" s="10">
        <f>ROUND($R56*SUMIFS(PrefFlows!$C:$C,PrefFlows!$A:$A,$R$1,PrefFlows!$B:$B,$B56)+$S56*SUMIFS(PrefFlows!$C:$C,PrefFlows!$A:$A,$S$1,PrefFlows!$B:$B,$B56)+$T56*SUMIFS(PrefFlows!$C:$C,PrefFlows!$A:$A,$T$1,PrefFlows!$B:$B,$B56),2)</f>
        <v>6.78</v>
      </c>
      <c r="W56" s="7">
        <f>ROUND($R56*(1-SUMIFS(PrefFlows!$C:$C,PrefFlows!$A:$A,$R$1,PrefFlows!$B:$B,$B56))+$S56*(1-SUMIFS(PrefFlows!$C:$C,PrefFlows!$A:$A,$S$1,PrefFlows!$B:$B,$B56))+$T56*(1-SUMIFS(PrefFlows!$C:$C,PrefFlows!$A:$A,$T$1,PrefFlows!$B:$B,$B56)),2)</f>
        <v>12.7</v>
      </c>
      <c r="X56" s="10">
        <f t="shared" si="10"/>
        <v>6.3</v>
      </c>
      <c r="Y56" s="7">
        <f t="shared" si="11"/>
        <v>13.18</v>
      </c>
      <c r="Z56" s="10">
        <f t="shared" si="12"/>
        <v>0.34799999999999998</v>
      </c>
      <c r="AA56" s="10">
        <f t="shared" si="13"/>
        <v>0.32340000000000002</v>
      </c>
      <c r="AB56" s="10">
        <f t="shared" si="14"/>
        <v>-2.46E-2</v>
      </c>
      <c r="AC56" s="7">
        <v>2.5277490025661799E-2</v>
      </c>
      <c r="AD56" s="10">
        <f>ROUND(R56*(1-(Exhaust!$B$2+AC56)),2)</f>
        <v>0.96</v>
      </c>
      <c r="AE56" s="10">
        <f>ROUND(S56*(1-(Exhaust!$B$3+$AC56)),2)</f>
        <v>6.77</v>
      </c>
      <c r="AF56" s="7">
        <f>ROUND(T56*(1-(Exhaust!$B$4+$AC56)),2)</f>
        <v>2.5499999999999998</v>
      </c>
      <c r="AG56" s="10">
        <f>ROUND($AD56*(SUMIFS(PrefFlows!$C:$C,PrefFlows!$A:$A,$R$1,PrefFlows!$B:$B,$B56)+$AB56)+$AE56*(SUMIFS(PrefFlows!$C:$C,PrefFlows!$A:$A,$S$1,PrefFlows!$B:$B,$B56)+$AB56)+$AF56*(SUMIFS(PrefFlows!$C:$C,PrefFlows!$A:$A,$T$1,PrefFlows!$B:$B,$B56)+$AB56),2)</f>
        <v>3.15</v>
      </c>
      <c r="AH56" s="7">
        <f>ROUND($AD56*(1-(SUMIFS(PrefFlows!$C:$C,PrefFlows!$A:$A,$R$1,PrefFlows!$B:$B,$B56)+$AB56))+$AE56*(1-(SUMIFS(PrefFlows!$C:$C,PrefFlows!$A:$A,$S$1,PrefFlows!$B:$B,$B56)+$AB56))+$AF56*(1-(SUMIFS(PrefFlows!$C:$C,PrefFlows!$A:$A,$T$1,PrefFlows!$B:$B,$B56)+$AB56)),2)</f>
        <v>7.13</v>
      </c>
      <c r="AI56" s="10">
        <f t="shared" si="15"/>
        <v>39.090000000000003</v>
      </c>
      <c r="AJ56" s="7">
        <f t="shared" si="16"/>
        <v>51.71</v>
      </c>
      <c r="AK56" s="10">
        <f t="shared" si="17"/>
        <v>43.05</v>
      </c>
      <c r="AL56" s="7">
        <f t="shared" si="17"/>
        <v>56.95</v>
      </c>
      <c r="AM56" s="1">
        <f t="shared" si="22"/>
        <v>-7.76</v>
      </c>
      <c r="AN56" s="1">
        <f t="shared" si="23"/>
        <v>-6.74</v>
      </c>
      <c r="AO56" s="7">
        <f t="shared" si="24"/>
        <v>-6.95</v>
      </c>
      <c r="AP56" s="1" t="b">
        <f t="shared" si="18"/>
        <v>0</v>
      </c>
      <c r="AQ56" s="1" t="b">
        <f t="shared" si="18"/>
        <v>0</v>
      </c>
      <c r="AR56" s="7" t="b">
        <f t="shared" si="19"/>
        <v>0</v>
      </c>
      <c r="AS56" s="1">
        <f t="shared" si="20"/>
        <v>1.0199999999999996</v>
      </c>
      <c r="AT56" s="1">
        <f t="shared" si="20"/>
        <v>0.80999999999999961</v>
      </c>
      <c r="AU56" s="7">
        <f t="shared" si="21"/>
        <v>0.20999999999999996</v>
      </c>
      <c r="AV56" s="1">
        <f>ROUND(IF(B56="NSW",N56*Meta!$B$6,N56),1)</f>
        <v>5344</v>
      </c>
      <c r="AW56" s="7">
        <f t="shared" si="25"/>
        <v>67851.399999999994</v>
      </c>
    </row>
    <row r="57" spans="1:49" x14ac:dyDescent="0.55000000000000004">
      <c r="A57" s="11" t="s">
        <v>69</v>
      </c>
      <c r="B57" s="7" t="s">
        <v>10</v>
      </c>
      <c r="C57" s="10">
        <v>54.62</v>
      </c>
      <c r="D57" s="10">
        <v>31.57</v>
      </c>
      <c r="E57" s="10">
        <v>0</v>
      </c>
      <c r="F57" s="10">
        <v>1.3</v>
      </c>
      <c r="G57" s="10">
        <v>0</v>
      </c>
      <c r="H57" s="10">
        <v>9.08</v>
      </c>
      <c r="I57" s="10">
        <v>3.43</v>
      </c>
      <c r="J57" s="7">
        <f t="shared" si="4"/>
        <v>4.7300000000000004</v>
      </c>
      <c r="K57" s="10">
        <v>35.049999999999997</v>
      </c>
      <c r="L57" s="7">
        <v>64.95</v>
      </c>
      <c r="M57" s="10">
        <v>85007</v>
      </c>
      <c r="N57" s="10">
        <v>5587</v>
      </c>
      <c r="O57" s="7">
        <f t="shared" si="5"/>
        <v>79420</v>
      </c>
      <c r="P57" s="10">
        <f>ROUND($C57+MIN($D57:$E57)*(1-SUMIFS(PrefFlows!$C:$C,PrefFlows!$A:$A,INDEX($D$1:$E$1,MATCH(MIN($D57:$E57),$D57:$E57,0)),PrefFlows!$B:$B,$B57)),2)</f>
        <v>54.62</v>
      </c>
      <c r="Q57" s="10">
        <f>ROUND(MAX($D57:$E57)+MIN($D57:$E57)*SUMIFS(PrefFlows!$C:$C,PrefFlows!$A:$A,INDEX($D$1:$E$1,MATCH(MIN($D57:$E57),$D57:$E57,0)),PrefFlows!$B:$B,$B57),2)</f>
        <v>31.57</v>
      </c>
      <c r="R57" s="10">
        <f t="shared" si="6"/>
        <v>0</v>
      </c>
      <c r="S57" s="10">
        <f t="shared" si="7"/>
        <v>9.08</v>
      </c>
      <c r="T57" s="7">
        <f t="shared" si="8"/>
        <v>4.7300000000000004</v>
      </c>
      <c r="U57" s="9">
        <f t="shared" si="9"/>
        <v>-23.05</v>
      </c>
      <c r="V57" s="10">
        <f>ROUND($R57*SUMIFS(PrefFlows!$C:$C,PrefFlows!$A:$A,$R$1,PrefFlows!$B:$B,$B57)+$S57*SUMIFS(PrefFlows!$C:$C,PrefFlows!$A:$A,$S$1,PrefFlows!$B:$B,$B57)+$T57*SUMIFS(PrefFlows!$C:$C,PrefFlows!$A:$A,$T$1,PrefFlows!$B:$B,$B57),2)</f>
        <v>4.0199999999999996</v>
      </c>
      <c r="W57" s="7">
        <f>ROUND($R57*(1-SUMIFS(PrefFlows!$C:$C,PrefFlows!$A:$A,$R$1,PrefFlows!$B:$B,$B57))+$S57*(1-SUMIFS(PrefFlows!$C:$C,PrefFlows!$A:$A,$S$1,PrefFlows!$B:$B,$B57))+$T57*(1-SUMIFS(PrefFlows!$C:$C,PrefFlows!$A:$A,$T$1,PrefFlows!$B:$B,$B57)),2)</f>
        <v>9.7899999999999991</v>
      </c>
      <c r="X57" s="10">
        <f t="shared" si="10"/>
        <v>3.48</v>
      </c>
      <c r="Y57" s="7">
        <f t="shared" si="11"/>
        <v>10.33</v>
      </c>
      <c r="Z57" s="10">
        <f t="shared" si="12"/>
        <v>0.29110000000000003</v>
      </c>
      <c r="AA57" s="10">
        <f t="shared" si="13"/>
        <v>0.252</v>
      </c>
      <c r="AB57" s="10">
        <f t="shared" si="14"/>
        <v>-3.9100000000000003E-2</v>
      </c>
      <c r="AC57" s="7">
        <v>-9.4016583438510701E-2</v>
      </c>
      <c r="AD57" s="10">
        <f>ROUND(R57*(1-(Exhaust!$B$2+AC57)),2)</f>
        <v>0</v>
      </c>
      <c r="AE57" s="10">
        <f>ROUND(S57*(1-(Exhaust!$B$3+$AC57)),2)</f>
        <v>6.3</v>
      </c>
      <c r="AF57" s="7">
        <f>ROUND(T57*(1-(Exhaust!$B$4+$AC57)),2)</f>
        <v>2.81</v>
      </c>
      <c r="AG57" s="10">
        <f>ROUND($AD57*(SUMIFS(PrefFlows!$C:$C,PrefFlows!$A:$A,$R$1,PrefFlows!$B:$B,$B57)+$AB57)+$AE57*(SUMIFS(PrefFlows!$C:$C,PrefFlows!$A:$A,$S$1,PrefFlows!$B:$B,$B57)+$AB57)+$AF57*(SUMIFS(PrefFlows!$C:$C,PrefFlows!$A:$A,$T$1,PrefFlows!$B:$B,$B57)+$AB57),2)</f>
        <v>2.1800000000000002</v>
      </c>
      <c r="AH57" s="7">
        <f>ROUND($AD57*(1-(SUMIFS(PrefFlows!$C:$C,PrefFlows!$A:$A,$R$1,PrefFlows!$B:$B,$B57)+$AB57))+$AE57*(1-(SUMIFS(PrefFlows!$C:$C,PrefFlows!$A:$A,$S$1,PrefFlows!$B:$B,$B57)+$AB57))+$AF57*(1-(SUMIFS(PrefFlows!$C:$C,PrefFlows!$A:$A,$T$1,PrefFlows!$B:$B,$B57)+$AB57)),2)</f>
        <v>6.93</v>
      </c>
      <c r="AI57" s="10">
        <f t="shared" si="15"/>
        <v>33.75</v>
      </c>
      <c r="AJ57" s="7">
        <f t="shared" si="16"/>
        <v>61.55</v>
      </c>
      <c r="AK57" s="10">
        <f t="shared" si="17"/>
        <v>35.409999999999997</v>
      </c>
      <c r="AL57" s="7">
        <f t="shared" si="17"/>
        <v>64.59</v>
      </c>
      <c r="AM57" s="1">
        <f t="shared" si="22"/>
        <v>-14.95</v>
      </c>
      <c r="AN57" s="1">
        <f t="shared" si="23"/>
        <v>-14.25</v>
      </c>
      <c r="AO57" s="7">
        <f t="shared" si="24"/>
        <v>-14.59</v>
      </c>
      <c r="AP57" s="1" t="b">
        <f t="shared" si="18"/>
        <v>0</v>
      </c>
      <c r="AQ57" s="1" t="b">
        <f t="shared" si="18"/>
        <v>0</v>
      </c>
      <c r="AR57" s="7" t="b">
        <f t="shared" si="19"/>
        <v>0</v>
      </c>
      <c r="AS57" s="1">
        <f t="shared" si="20"/>
        <v>0.69999999999999929</v>
      </c>
      <c r="AT57" s="1">
        <f t="shared" si="20"/>
        <v>0.35999999999999943</v>
      </c>
      <c r="AU57" s="7">
        <f t="shared" si="21"/>
        <v>0.33999999999999986</v>
      </c>
      <c r="AV57" s="1">
        <f>ROUND(IF(B57="NSW",N57*Meta!$B$6,N57),1)</f>
        <v>5587</v>
      </c>
      <c r="AW57" s="7">
        <f t="shared" si="25"/>
        <v>77739.899999999994</v>
      </c>
    </row>
    <row r="58" spans="1:49" x14ac:dyDescent="0.55000000000000004">
      <c r="A58" s="11" t="s">
        <v>70</v>
      </c>
      <c r="B58" s="7" t="s">
        <v>13</v>
      </c>
      <c r="C58" s="10">
        <v>31</v>
      </c>
      <c r="D58" s="10">
        <v>54.58</v>
      </c>
      <c r="E58" s="10">
        <v>0</v>
      </c>
      <c r="F58" s="10">
        <v>0</v>
      </c>
      <c r="G58" s="10">
        <v>2.2000000000000002</v>
      </c>
      <c r="H58" s="10">
        <v>7.78</v>
      </c>
      <c r="I58" s="10">
        <v>6.64</v>
      </c>
      <c r="J58" s="7">
        <f t="shared" si="4"/>
        <v>4.4400000000000004</v>
      </c>
      <c r="K58" s="10">
        <v>60.08</v>
      </c>
      <c r="L58" s="7">
        <v>39.92</v>
      </c>
      <c r="M58" s="10">
        <v>83653</v>
      </c>
      <c r="N58" s="10">
        <v>3542</v>
      </c>
      <c r="O58" s="7">
        <f t="shared" si="5"/>
        <v>80111</v>
      </c>
      <c r="P58" s="10">
        <f>ROUND($C58+MIN($D58:$E58)*(1-SUMIFS(PrefFlows!$C:$C,PrefFlows!$A:$A,INDEX($D$1:$E$1,MATCH(MIN($D58:$E58),$D58:$E58,0)),PrefFlows!$B:$B,$B58)),2)</f>
        <v>31</v>
      </c>
      <c r="Q58" s="10">
        <f>ROUND(MAX($D58:$E58)+MIN($D58:$E58)*SUMIFS(PrefFlows!$C:$C,PrefFlows!$A:$A,INDEX($D$1:$E$1,MATCH(MIN($D58:$E58),$D58:$E58,0)),PrefFlows!$B:$B,$B58),2)</f>
        <v>54.58</v>
      </c>
      <c r="R58" s="10">
        <f t="shared" si="6"/>
        <v>2.2000000000000002</v>
      </c>
      <c r="S58" s="10">
        <f t="shared" si="7"/>
        <v>7.78</v>
      </c>
      <c r="T58" s="7">
        <f t="shared" si="8"/>
        <v>4.4400000000000004</v>
      </c>
      <c r="U58" s="9">
        <f t="shared" si="9"/>
        <v>23.58</v>
      </c>
      <c r="V58" s="10">
        <f>ROUND($R58*SUMIFS(PrefFlows!$C:$C,PrefFlows!$A:$A,$R$1,PrefFlows!$B:$B,$B58)+$S58*SUMIFS(PrefFlows!$C:$C,PrefFlows!$A:$A,$S$1,PrefFlows!$B:$B,$B58)+$T58*SUMIFS(PrefFlows!$C:$C,PrefFlows!$A:$A,$T$1,PrefFlows!$B:$B,$B58),2)</f>
        <v>4.88</v>
      </c>
      <c r="W58" s="7">
        <f>ROUND($R58*(1-SUMIFS(PrefFlows!$C:$C,PrefFlows!$A:$A,$R$1,PrefFlows!$B:$B,$B58))+$S58*(1-SUMIFS(PrefFlows!$C:$C,PrefFlows!$A:$A,$S$1,PrefFlows!$B:$B,$B58))+$T58*(1-SUMIFS(PrefFlows!$C:$C,PrefFlows!$A:$A,$T$1,PrefFlows!$B:$B,$B58)),2)</f>
        <v>9.5399999999999991</v>
      </c>
      <c r="X58" s="10">
        <f t="shared" si="10"/>
        <v>5.5</v>
      </c>
      <c r="Y58" s="7">
        <f t="shared" si="11"/>
        <v>8.92</v>
      </c>
      <c r="Z58" s="10">
        <f t="shared" si="12"/>
        <v>0.33839999999999998</v>
      </c>
      <c r="AA58" s="10">
        <f t="shared" si="13"/>
        <v>0.38140000000000002</v>
      </c>
      <c r="AB58" s="10">
        <f t="shared" si="14"/>
        <v>4.2999999999999997E-2</v>
      </c>
      <c r="AC58" s="7">
        <v>1.09334703369477E-2</v>
      </c>
      <c r="AD58" s="10">
        <f>ROUND(R58*(1-(Exhaust!$B$2+AC58)),2)</f>
        <v>0.94</v>
      </c>
      <c r="AE58" s="10">
        <f>ROUND(S58*(1-(Exhaust!$B$3+$AC58)),2)</f>
        <v>4.58</v>
      </c>
      <c r="AF58" s="7">
        <f>ROUND(T58*(1-(Exhaust!$B$4+$AC58)),2)</f>
        <v>2.17</v>
      </c>
      <c r="AG58" s="10">
        <f>ROUND($AD58*(SUMIFS(PrefFlows!$C:$C,PrefFlows!$A:$A,$R$1,PrefFlows!$B:$B,$B58)+$AB58)+$AE58*(SUMIFS(PrefFlows!$C:$C,PrefFlows!$A:$A,$S$1,PrefFlows!$B:$B,$B58)+$AB58)+$AF58*(SUMIFS(PrefFlows!$C:$C,PrefFlows!$A:$A,$T$1,PrefFlows!$B:$B,$B58)+$AB58),2)</f>
        <v>2.78</v>
      </c>
      <c r="AH58" s="7">
        <f>ROUND($AD58*(1-(SUMIFS(PrefFlows!$C:$C,PrefFlows!$A:$A,$R$1,PrefFlows!$B:$B,$B58)+$AB58))+$AE58*(1-(SUMIFS(PrefFlows!$C:$C,PrefFlows!$A:$A,$S$1,PrefFlows!$B:$B,$B58)+$AB58))+$AF58*(1-(SUMIFS(PrefFlows!$C:$C,PrefFlows!$A:$A,$T$1,PrefFlows!$B:$B,$B58)+$AB58)),2)</f>
        <v>4.91</v>
      </c>
      <c r="AI58" s="10">
        <f t="shared" si="15"/>
        <v>57.36</v>
      </c>
      <c r="AJ58" s="7">
        <f t="shared" si="16"/>
        <v>35.909999999999997</v>
      </c>
      <c r="AK58" s="10">
        <f t="shared" si="17"/>
        <v>61.5</v>
      </c>
      <c r="AL58" s="7">
        <f t="shared" si="17"/>
        <v>38.5</v>
      </c>
      <c r="AM58" s="1">
        <f t="shared" si="22"/>
        <v>10.08</v>
      </c>
      <c r="AN58" s="1">
        <f t="shared" si="23"/>
        <v>11.71</v>
      </c>
      <c r="AO58" s="7">
        <f t="shared" si="24"/>
        <v>11.5</v>
      </c>
      <c r="AP58" s="1" t="b">
        <f t="shared" si="18"/>
        <v>0</v>
      </c>
      <c r="AQ58" s="1" t="b">
        <f t="shared" si="18"/>
        <v>0</v>
      </c>
      <c r="AR58" s="7" t="b">
        <f t="shared" si="19"/>
        <v>0</v>
      </c>
      <c r="AS58" s="1">
        <f t="shared" si="20"/>
        <v>1.6300000000000008</v>
      </c>
      <c r="AT58" s="1">
        <f t="shared" si="20"/>
        <v>1.42</v>
      </c>
      <c r="AU58" s="7">
        <f t="shared" si="21"/>
        <v>0.21000000000000085</v>
      </c>
      <c r="AV58" s="1">
        <f>ROUND(IF(B58="NSW",N58*Meta!$B$6,N58),1)</f>
        <v>2373.1</v>
      </c>
      <c r="AW58" s="7">
        <f t="shared" si="25"/>
        <v>76663.100000000006</v>
      </c>
    </row>
    <row r="59" spans="1:49" x14ac:dyDescent="0.55000000000000004">
      <c r="A59" s="11" t="s">
        <v>71</v>
      </c>
      <c r="B59" s="7" t="s">
        <v>10</v>
      </c>
      <c r="C59" s="10">
        <v>34.090000000000003</v>
      </c>
      <c r="D59" s="10">
        <v>0</v>
      </c>
      <c r="E59" s="10">
        <v>48.73</v>
      </c>
      <c r="F59" s="10">
        <v>1.54</v>
      </c>
      <c r="G59" s="10">
        <v>2.98</v>
      </c>
      <c r="H59" s="10">
        <v>4.38</v>
      </c>
      <c r="I59" s="10">
        <v>11.26</v>
      </c>
      <c r="J59" s="7">
        <f t="shared" si="4"/>
        <v>9.82</v>
      </c>
      <c r="K59" s="10">
        <v>57.7</v>
      </c>
      <c r="L59" s="7">
        <v>42.3</v>
      </c>
      <c r="M59" s="10">
        <v>88997</v>
      </c>
      <c r="N59" s="10">
        <v>3763</v>
      </c>
      <c r="O59" s="7">
        <f t="shared" si="5"/>
        <v>85234</v>
      </c>
      <c r="P59" s="10">
        <f>ROUND($C59+MIN($D59:$E59)*(1-SUMIFS(PrefFlows!$C:$C,PrefFlows!$A:$A,INDEX($D$1:$E$1,MATCH(MIN($D59:$E59),$D59:$E59,0)),PrefFlows!$B:$B,$B59)),2)</f>
        <v>34.090000000000003</v>
      </c>
      <c r="Q59" s="10">
        <f>ROUND(MAX($D59:$E59)+MIN($D59:$E59)*SUMIFS(PrefFlows!$C:$C,PrefFlows!$A:$A,INDEX($D$1:$E$1,MATCH(MIN($D59:$E59),$D59:$E59,0)),PrefFlows!$B:$B,$B59),2)</f>
        <v>48.73</v>
      </c>
      <c r="R59" s="10">
        <f t="shared" si="6"/>
        <v>2.98</v>
      </c>
      <c r="S59" s="10">
        <f t="shared" si="7"/>
        <v>4.38</v>
      </c>
      <c r="T59" s="7">
        <f t="shared" si="8"/>
        <v>9.82</v>
      </c>
      <c r="U59" s="9">
        <f t="shared" si="9"/>
        <v>14.64</v>
      </c>
      <c r="V59" s="10">
        <f>ROUND($R59*SUMIFS(PrefFlows!$C:$C,PrefFlows!$A:$A,$R$1,PrefFlows!$B:$B,$B59)+$S59*SUMIFS(PrefFlows!$C:$C,PrefFlows!$A:$A,$S$1,PrefFlows!$B:$B,$B59)+$T59*SUMIFS(PrefFlows!$C:$C,PrefFlows!$A:$A,$T$1,PrefFlows!$B:$B,$B59),2)</f>
        <v>7.6</v>
      </c>
      <c r="W59" s="7">
        <f>ROUND($R59*(1-SUMIFS(PrefFlows!$C:$C,PrefFlows!$A:$A,$R$1,PrefFlows!$B:$B,$B59))+$S59*(1-SUMIFS(PrefFlows!$C:$C,PrefFlows!$A:$A,$S$1,PrefFlows!$B:$B,$B59))+$T59*(1-SUMIFS(PrefFlows!$C:$C,PrefFlows!$A:$A,$T$1,PrefFlows!$B:$B,$B59)),2)</f>
        <v>9.58</v>
      </c>
      <c r="X59" s="10">
        <f t="shared" si="10"/>
        <v>8.9700000000000006</v>
      </c>
      <c r="Y59" s="7">
        <f t="shared" si="11"/>
        <v>8.2100000000000009</v>
      </c>
      <c r="Z59" s="10">
        <f t="shared" si="12"/>
        <v>0.44240000000000002</v>
      </c>
      <c r="AA59" s="10">
        <f t="shared" si="13"/>
        <v>0.52210000000000001</v>
      </c>
      <c r="AB59" s="10">
        <f t="shared" si="14"/>
        <v>7.9699999999999993E-2</v>
      </c>
      <c r="AC59" s="7">
        <v>1.60879225325299E-2</v>
      </c>
      <c r="AD59" s="10">
        <f>ROUND(R59*(1-(Exhaust!$B$2+AC59)),2)</f>
        <v>1.26</v>
      </c>
      <c r="AE59" s="10">
        <f>ROUND(S59*(1-(Exhaust!$B$3+$AC59)),2)</f>
        <v>2.56</v>
      </c>
      <c r="AF59" s="7">
        <f>ROUND(T59*(1-(Exhaust!$B$4+$AC59)),2)</f>
        <v>4.75</v>
      </c>
      <c r="AG59" s="10">
        <f>ROUND($AD59*(SUMIFS(PrefFlows!$C:$C,PrefFlows!$A:$A,$R$1,PrefFlows!$B:$B,$B59)+$AB59)+$AE59*(SUMIFS(PrefFlows!$C:$C,PrefFlows!$A:$A,$S$1,PrefFlows!$B:$B,$B59)+$AB59)+$AF59*(SUMIFS(PrefFlows!$C:$C,PrefFlows!$A:$A,$T$1,PrefFlows!$B:$B,$B59)+$AB59),2)</f>
        <v>4.33</v>
      </c>
      <c r="AH59" s="7">
        <f>ROUND($AD59*(1-(SUMIFS(PrefFlows!$C:$C,PrefFlows!$A:$A,$R$1,PrefFlows!$B:$B,$B59)+$AB59))+$AE59*(1-(SUMIFS(PrefFlows!$C:$C,PrefFlows!$A:$A,$S$1,PrefFlows!$B:$B,$B59)+$AB59))+$AF59*(1-(SUMIFS(PrefFlows!$C:$C,PrefFlows!$A:$A,$T$1,PrefFlows!$B:$B,$B59)+$AB59)),2)</f>
        <v>4.24</v>
      </c>
      <c r="AI59" s="10">
        <f t="shared" si="15"/>
        <v>53.06</v>
      </c>
      <c r="AJ59" s="7">
        <f t="shared" si="16"/>
        <v>38.33</v>
      </c>
      <c r="AK59" s="10">
        <f t="shared" si="17"/>
        <v>58.06</v>
      </c>
      <c r="AL59" s="7">
        <f t="shared" si="17"/>
        <v>41.94</v>
      </c>
      <c r="AM59" s="1">
        <f t="shared" si="22"/>
        <v>7.7</v>
      </c>
      <c r="AN59" s="1">
        <f t="shared" si="23"/>
        <v>8.19</v>
      </c>
      <c r="AO59" s="7">
        <f t="shared" si="24"/>
        <v>8.06</v>
      </c>
      <c r="AP59" s="1" t="b">
        <f t="shared" si="18"/>
        <v>0</v>
      </c>
      <c r="AQ59" s="1" t="b">
        <f t="shared" si="18"/>
        <v>0</v>
      </c>
      <c r="AR59" s="7" t="b">
        <f t="shared" si="19"/>
        <v>0</v>
      </c>
      <c r="AS59" s="1">
        <f t="shared" si="20"/>
        <v>0.48999999999999932</v>
      </c>
      <c r="AT59" s="1">
        <f t="shared" si="20"/>
        <v>0.36000000000000032</v>
      </c>
      <c r="AU59" s="7">
        <f t="shared" si="21"/>
        <v>0.12999999999999901</v>
      </c>
      <c r="AV59" s="1">
        <f>ROUND(IF(B59="NSW",N59*Meta!$B$6,N59),1)</f>
        <v>3763</v>
      </c>
      <c r="AW59" s="7">
        <f t="shared" si="25"/>
        <v>79221.100000000006</v>
      </c>
    </row>
    <row r="60" spans="1:49" x14ac:dyDescent="0.55000000000000004">
      <c r="A60" s="11" t="s">
        <v>72</v>
      </c>
      <c r="B60" s="7" t="s">
        <v>10</v>
      </c>
      <c r="C60" s="10">
        <v>30.46</v>
      </c>
      <c r="D60" s="10">
        <v>55.98</v>
      </c>
      <c r="E60" s="10">
        <v>0</v>
      </c>
      <c r="F60" s="10">
        <v>1.23</v>
      </c>
      <c r="G60" s="10">
        <v>0</v>
      </c>
      <c r="H60" s="10">
        <v>8.86</v>
      </c>
      <c r="I60" s="10">
        <v>3.47</v>
      </c>
      <c r="J60" s="7">
        <f t="shared" si="4"/>
        <v>4.7</v>
      </c>
      <c r="K60" s="10">
        <v>60.03</v>
      </c>
      <c r="L60" s="7">
        <v>39.97</v>
      </c>
      <c r="M60" s="10">
        <v>84748</v>
      </c>
      <c r="N60" s="10">
        <v>2880</v>
      </c>
      <c r="O60" s="7">
        <f t="shared" si="5"/>
        <v>81868</v>
      </c>
      <c r="P60" s="10">
        <f>ROUND($C60+MIN($D60:$E60)*(1-SUMIFS(PrefFlows!$C:$C,PrefFlows!$A:$A,INDEX($D$1:$E$1,MATCH(MIN($D60:$E60),$D60:$E60,0)),PrefFlows!$B:$B,$B60)),2)</f>
        <v>30.46</v>
      </c>
      <c r="Q60" s="10">
        <f>ROUND(MAX($D60:$E60)+MIN($D60:$E60)*SUMIFS(PrefFlows!$C:$C,PrefFlows!$A:$A,INDEX($D$1:$E$1,MATCH(MIN($D60:$E60),$D60:$E60,0)),PrefFlows!$B:$B,$B60),2)</f>
        <v>55.98</v>
      </c>
      <c r="R60" s="10">
        <f t="shared" si="6"/>
        <v>0</v>
      </c>
      <c r="S60" s="10">
        <f t="shared" si="7"/>
        <v>8.86</v>
      </c>
      <c r="T60" s="7">
        <f t="shared" si="8"/>
        <v>4.7</v>
      </c>
      <c r="U60" s="9">
        <f t="shared" si="9"/>
        <v>25.52</v>
      </c>
      <c r="V60" s="10">
        <f>ROUND($R60*SUMIFS(PrefFlows!$C:$C,PrefFlows!$A:$A,$R$1,PrefFlows!$B:$B,$B60)+$S60*SUMIFS(PrefFlows!$C:$C,PrefFlows!$A:$A,$S$1,PrefFlows!$B:$B,$B60)+$T60*SUMIFS(PrefFlows!$C:$C,PrefFlows!$A:$A,$T$1,PrefFlows!$B:$B,$B60),2)</f>
        <v>3.96</v>
      </c>
      <c r="W60" s="7">
        <f>ROUND($R60*(1-SUMIFS(PrefFlows!$C:$C,PrefFlows!$A:$A,$R$1,PrefFlows!$B:$B,$B60))+$S60*(1-SUMIFS(PrefFlows!$C:$C,PrefFlows!$A:$A,$S$1,PrefFlows!$B:$B,$B60))+$T60*(1-SUMIFS(PrefFlows!$C:$C,PrefFlows!$A:$A,$T$1,PrefFlows!$B:$B,$B60)),2)</f>
        <v>9.6</v>
      </c>
      <c r="X60" s="10">
        <f t="shared" si="10"/>
        <v>4.05</v>
      </c>
      <c r="Y60" s="7">
        <f t="shared" si="11"/>
        <v>9.51</v>
      </c>
      <c r="Z60" s="10">
        <f t="shared" si="12"/>
        <v>0.29199999999999998</v>
      </c>
      <c r="AA60" s="10">
        <f t="shared" si="13"/>
        <v>0.29870000000000002</v>
      </c>
      <c r="AB60" s="10">
        <f t="shared" si="14"/>
        <v>6.7000000000000002E-3</v>
      </c>
      <c r="AC60" s="7">
        <v>-0.104089136247147</v>
      </c>
      <c r="AD60" s="10">
        <f>ROUND(R60*(1-(Exhaust!$B$2+AC60)),2)</f>
        <v>0</v>
      </c>
      <c r="AE60" s="10">
        <f>ROUND(S60*(1-(Exhaust!$B$3+$AC60)),2)</f>
        <v>6.24</v>
      </c>
      <c r="AF60" s="7">
        <f>ROUND(T60*(1-(Exhaust!$B$4+$AC60)),2)</f>
        <v>2.84</v>
      </c>
      <c r="AG60" s="10">
        <f>ROUND($AD60*(SUMIFS(PrefFlows!$C:$C,PrefFlows!$A:$A,$R$1,PrefFlows!$B:$B,$B60)+$AB60)+$AE60*(SUMIFS(PrefFlows!$C:$C,PrefFlows!$A:$A,$S$1,PrefFlows!$B:$B,$B60)+$AB60)+$AF60*(SUMIFS(PrefFlows!$C:$C,PrefFlows!$A:$A,$T$1,PrefFlows!$B:$B,$B60)+$AB60),2)</f>
        <v>2.6</v>
      </c>
      <c r="AH60" s="7">
        <f>ROUND($AD60*(1-(SUMIFS(PrefFlows!$C:$C,PrefFlows!$A:$A,$R$1,PrefFlows!$B:$B,$B60)+$AB60))+$AE60*(1-(SUMIFS(PrefFlows!$C:$C,PrefFlows!$A:$A,$S$1,PrefFlows!$B:$B,$B60)+$AB60))+$AF60*(1-(SUMIFS(PrefFlows!$C:$C,PrefFlows!$A:$A,$T$1,PrefFlows!$B:$B,$B60)+$AB60)),2)</f>
        <v>6.48</v>
      </c>
      <c r="AI60" s="10">
        <f t="shared" si="15"/>
        <v>58.58</v>
      </c>
      <c r="AJ60" s="7">
        <f t="shared" si="16"/>
        <v>36.94</v>
      </c>
      <c r="AK60" s="10">
        <f t="shared" si="17"/>
        <v>61.33</v>
      </c>
      <c r="AL60" s="7">
        <f t="shared" si="17"/>
        <v>38.67</v>
      </c>
      <c r="AM60" s="1">
        <f t="shared" si="22"/>
        <v>10.029999999999999</v>
      </c>
      <c r="AN60" s="1">
        <f t="shared" si="23"/>
        <v>12.13</v>
      </c>
      <c r="AO60" s="7">
        <f t="shared" si="24"/>
        <v>11.33</v>
      </c>
      <c r="AP60" s="1" t="b">
        <f t="shared" si="18"/>
        <v>0</v>
      </c>
      <c r="AQ60" s="1" t="b">
        <f t="shared" si="18"/>
        <v>0</v>
      </c>
      <c r="AR60" s="7" t="b">
        <f t="shared" si="19"/>
        <v>0</v>
      </c>
      <c r="AS60" s="1">
        <f t="shared" si="20"/>
        <v>2.1000000000000014</v>
      </c>
      <c r="AT60" s="1">
        <f t="shared" si="20"/>
        <v>1.3000000000000007</v>
      </c>
      <c r="AU60" s="7">
        <f t="shared" si="21"/>
        <v>0.80000000000000071</v>
      </c>
      <c r="AV60" s="1">
        <f>ROUND(IF(B60="NSW",N60*Meta!$B$6,N60),1)</f>
        <v>2880</v>
      </c>
      <c r="AW60" s="7">
        <f t="shared" si="25"/>
        <v>79260.899999999994</v>
      </c>
    </row>
    <row r="61" spans="1:49" x14ac:dyDescent="0.55000000000000004">
      <c r="A61" s="11" t="s">
        <v>73</v>
      </c>
      <c r="B61" s="7" t="s">
        <v>10</v>
      </c>
      <c r="C61" s="10">
        <v>59.37</v>
      </c>
      <c r="D61" s="10">
        <v>32.42</v>
      </c>
      <c r="E61" s="10">
        <v>0</v>
      </c>
      <c r="F61" s="10">
        <v>0</v>
      </c>
      <c r="G61" s="10">
        <v>0</v>
      </c>
      <c r="H61" s="10">
        <v>5.0999999999999996</v>
      </c>
      <c r="I61" s="10">
        <v>3.11</v>
      </c>
      <c r="J61" s="7">
        <f t="shared" si="4"/>
        <v>3.11</v>
      </c>
      <c r="K61" s="10">
        <v>35.1</v>
      </c>
      <c r="L61" s="7">
        <v>64.900000000000006</v>
      </c>
      <c r="M61" s="10">
        <v>86809</v>
      </c>
      <c r="N61" s="10">
        <v>4396</v>
      </c>
      <c r="O61" s="7">
        <f t="shared" si="5"/>
        <v>82413</v>
      </c>
      <c r="P61" s="10">
        <f>ROUND($C61+MIN($D61:$E61)*(1-SUMIFS(PrefFlows!$C:$C,PrefFlows!$A:$A,INDEX($D$1:$E$1,MATCH(MIN($D61:$E61),$D61:$E61,0)),PrefFlows!$B:$B,$B61)),2)</f>
        <v>59.37</v>
      </c>
      <c r="Q61" s="10">
        <f>ROUND(MAX($D61:$E61)+MIN($D61:$E61)*SUMIFS(PrefFlows!$C:$C,PrefFlows!$A:$A,INDEX($D$1:$E$1,MATCH(MIN($D61:$E61),$D61:$E61,0)),PrefFlows!$B:$B,$B61),2)</f>
        <v>32.42</v>
      </c>
      <c r="R61" s="10">
        <f t="shared" si="6"/>
        <v>0</v>
      </c>
      <c r="S61" s="10">
        <f t="shared" si="7"/>
        <v>5.0999999999999996</v>
      </c>
      <c r="T61" s="7">
        <f t="shared" si="8"/>
        <v>3.11</v>
      </c>
      <c r="U61" s="9">
        <f t="shared" si="9"/>
        <v>-26.95</v>
      </c>
      <c r="V61" s="10">
        <f>ROUND($R61*SUMIFS(PrefFlows!$C:$C,PrefFlows!$A:$A,$R$1,PrefFlows!$B:$B,$B61)+$S61*SUMIFS(PrefFlows!$C:$C,PrefFlows!$A:$A,$S$1,PrefFlows!$B:$B,$B61)+$T61*SUMIFS(PrefFlows!$C:$C,PrefFlows!$A:$A,$T$1,PrefFlows!$B:$B,$B61),2)</f>
        <v>2.4900000000000002</v>
      </c>
      <c r="W61" s="7">
        <f>ROUND($R61*(1-SUMIFS(PrefFlows!$C:$C,PrefFlows!$A:$A,$R$1,PrefFlows!$B:$B,$B61))+$S61*(1-SUMIFS(PrefFlows!$C:$C,PrefFlows!$A:$A,$S$1,PrefFlows!$B:$B,$B61))+$T61*(1-SUMIFS(PrefFlows!$C:$C,PrefFlows!$A:$A,$T$1,PrefFlows!$B:$B,$B61)),2)</f>
        <v>5.72</v>
      </c>
      <c r="X61" s="10">
        <f t="shared" si="10"/>
        <v>2.68</v>
      </c>
      <c r="Y61" s="7">
        <f t="shared" si="11"/>
        <v>5.53</v>
      </c>
      <c r="Z61" s="10">
        <f t="shared" si="12"/>
        <v>0.30330000000000001</v>
      </c>
      <c r="AA61" s="10">
        <f t="shared" si="13"/>
        <v>0.32640000000000002</v>
      </c>
      <c r="AB61" s="10">
        <f t="shared" si="14"/>
        <v>2.3099999999999999E-2</v>
      </c>
      <c r="AC61" s="7">
        <v>5.4124673361318099E-2</v>
      </c>
      <c r="AD61" s="10">
        <f>ROUND(R61*(1-(Exhaust!$B$2+AC61)),2)</f>
        <v>0</v>
      </c>
      <c r="AE61" s="10">
        <f>ROUND(S61*(1-(Exhaust!$B$3+$AC61)),2)</f>
        <v>2.78</v>
      </c>
      <c r="AF61" s="7">
        <f>ROUND(T61*(1-(Exhaust!$B$4+$AC61)),2)</f>
        <v>1.39</v>
      </c>
      <c r="AG61" s="10">
        <f>ROUND($AD61*(SUMIFS(PrefFlows!$C:$C,PrefFlows!$A:$A,$R$1,PrefFlows!$B:$B,$B61)+$AB61)+$AE61*(SUMIFS(PrefFlows!$C:$C,PrefFlows!$A:$A,$S$1,PrefFlows!$B:$B,$B61)+$AB61)+$AF61*(SUMIFS(PrefFlows!$C:$C,PrefFlows!$A:$A,$T$1,PrefFlows!$B:$B,$B61)+$AB61),2)</f>
        <v>1.3</v>
      </c>
      <c r="AH61" s="7">
        <f>ROUND($AD61*(1-(SUMIFS(PrefFlows!$C:$C,PrefFlows!$A:$A,$R$1,PrefFlows!$B:$B,$B61)+$AB61))+$AE61*(1-(SUMIFS(PrefFlows!$C:$C,PrefFlows!$A:$A,$S$1,PrefFlows!$B:$B,$B61)+$AB61))+$AF61*(1-(SUMIFS(PrefFlows!$C:$C,PrefFlows!$A:$A,$T$1,PrefFlows!$B:$B,$B61)+$AB61)),2)</f>
        <v>2.87</v>
      </c>
      <c r="AI61" s="10">
        <f t="shared" si="15"/>
        <v>33.72</v>
      </c>
      <c r="AJ61" s="7">
        <f t="shared" si="16"/>
        <v>62.24</v>
      </c>
      <c r="AK61" s="10">
        <f t="shared" si="17"/>
        <v>35.14</v>
      </c>
      <c r="AL61" s="7">
        <f t="shared" si="17"/>
        <v>64.86</v>
      </c>
      <c r="AM61" s="1">
        <f t="shared" si="22"/>
        <v>-14.9</v>
      </c>
      <c r="AN61" s="1">
        <f t="shared" si="23"/>
        <v>-14.8</v>
      </c>
      <c r="AO61" s="7">
        <f t="shared" si="24"/>
        <v>-14.86</v>
      </c>
      <c r="AP61" s="1" t="b">
        <f t="shared" si="18"/>
        <v>0</v>
      </c>
      <c r="AQ61" s="1" t="b">
        <f t="shared" si="18"/>
        <v>0</v>
      </c>
      <c r="AR61" s="7" t="b">
        <f t="shared" si="19"/>
        <v>0</v>
      </c>
      <c r="AS61" s="1">
        <f t="shared" si="20"/>
        <v>9.9999999999999645E-2</v>
      </c>
      <c r="AT61" s="1">
        <f t="shared" si="20"/>
        <v>4.0000000000000924E-2</v>
      </c>
      <c r="AU61" s="7">
        <f t="shared" si="21"/>
        <v>5.9999999999998721E-2</v>
      </c>
      <c r="AV61" s="1">
        <f>ROUND(IF(B61="NSW",N61*Meta!$B$6,N61),1)</f>
        <v>4396</v>
      </c>
      <c r="AW61" s="7">
        <f t="shared" si="25"/>
        <v>80709.8</v>
      </c>
    </row>
    <row r="62" spans="1:49" x14ac:dyDescent="0.55000000000000004">
      <c r="A62" s="11" t="s">
        <v>74</v>
      </c>
      <c r="B62" s="7" t="s">
        <v>13</v>
      </c>
      <c r="C62" s="10">
        <v>51.18</v>
      </c>
      <c r="D62" s="10">
        <v>24.31</v>
      </c>
      <c r="E62" s="10">
        <v>0</v>
      </c>
      <c r="F62" s="10">
        <v>2.09</v>
      </c>
      <c r="G62" s="10">
        <v>0</v>
      </c>
      <c r="H62" s="10">
        <v>21.08</v>
      </c>
      <c r="I62" s="10">
        <v>1.34</v>
      </c>
      <c r="J62" s="7">
        <f t="shared" si="4"/>
        <v>3.43</v>
      </c>
      <c r="K62" s="10">
        <v>27.4</v>
      </c>
      <c r="L62" s="7">
        <v>72.599999999999994</v>
      </c>
      <c r="M62" s="10">
        <v>79806</v>
      </c>
      <c r="N62" s="10">
        <v>4322</v>
      </c>
      <c r="O62" s="7">
        <f t="shared" si="5"/>
        <v>75484</v>
      </c>
      <c r="P62" s="10">
        <f>ROUND($C62+MIN($D62:$E62)*(1-SUMIFS(PrefFlows!$C:$C,PrefFlows!$A:$A,INDEX($D$1:$E$1,MATCH(MIN($D62:$E62),$D62:$E62,0)),PrefFlows!$B:$B,$B62)),2)</f>
        <v>51.18</v>
      </c>
      <c r="Q62" s="10">
        <f>ROUND(MAX($D62:$E62)+MIN($D62:$E62)*SUMIFS(PrefFlows!$C:$C,PrefFlows!$A:$A,INDEX($D$1:$E$1,MATCH(MIN($D62:$E62),$D62:$E62,0)),PrefFlows!$B:$B,$B62),2)</f>
        <v>24.31</v>
      </c>
      <c r="R62" s="10">
        <f t="shared" si="6"/>
        <v>0</v>
      </c>
      <c r="S62" s="10">
        <f t="shared" si="7"/>
        <v>21.08</v>
      </c>
      <c r="T62" s="7">
        <f t="shared" si="8"/>
        <v>3.43</v>
      </c>
      <c r="U62" s="9">
        <f t="shared" si="9"/>
        <v>-26.87</v>
      </c>
      <c r="V62" s="10">
        <f>ROUND($R62*SUMIFS(PrefFlows!$C:$C,PrefFlows!$A:$A,$R$1,PrefFlows!$B:$B,$B62)+$S62*SUMIFS(PrefFlows!$C:$C,PrefFlows!$A:$A,$S$1,PrefFlows!$B:$B,$B62)+$T62*SUMIFS(PrefFlows!$C:$C,PrefFlows!$A:$A,$T$1,PrefFlows!$B:$B,$B62),2)</f>
        <v>5.53</v>
      </c>
      <c r="W62" s="7">
        <f>ROUND($R62*(1-SUMIFS(PrefFlows!$C:$C,PrefFlows!$A:$A,$R$1,PrefFlows!$B:$B,$B62))+$S62*(1-SUMIFS(PrefFlows!$C:$C,PrefFlows!$A:$A,$S$1,PrefFlows!$B:$B,$B62))+$T62*(1-SUMIFS(PrefFlows!$C:$C,PrefFlows!$A:$A,$T$1,PrefFlows!$B:$B,$B62)),2)</f>
        <v>18.98</v>
      </c>
      <c r="X62" s="10">
        <f t="shared" si="10"/>
        <v>3.09</v>
      </c>
      <c r="Y62" s="7">
        <f t="shared" si="11"/>
        <v>21.42</v>
      </c>
      <c r="Z62" s="10">
        <f t="shared" si="12"/>
        <v>0.22559999999999999</v>
      </c>
      <c r="AA62" s="10">
        <f t="shared" si="13"/>
        <v>0.12609999999999999</v>
      </c>
      <c r="AB62" s="10">
        <f t="shared" si="14"/>
        <v>-9.9500000000000005E-2</v>
      </c>
      <c r="AC62" s="7">
        <v>-4.53537664541072E-2</v>
      </c>
      <c r="AD62" s="10">
        <f>ROUND(R62*(1-(Exhaust!$B$2+AC62)),2)</f>
        <v>0</v>
      </c>
      <c r="AE62" s="10">
        <f>ROUND(S62*(1-(Exhaust!$B$3+$AC62)),2)</f>
        <v>13.6</v>
      </c>
      <c r="AF62" s="7">
        <f>ROUND(T62*(1-(Exhaust!$B$4+$AC62)),2)</f>
        <v>1.87</v>
      </c>
      <c r="AG62" s="10">
        <f>ROUND($AD62*(SUMIFS(PrefFlows!$C:$C,PrefFlows!$A:$A,$R$1,PrefFlows!$B:$B,$B62)+$AB62)+$AE62*(SUMIFS(PrefFlows!$C:$C,PrefFlows!$A:$A,$S$1,PrefFlows!$B:$B,$B62)+$AB62)+$AF62*(SUMIFS(PrefFlows!$C:$C,PrefFlows!$A:$A,$T$1,PrefFlows!$B:$B,$B62)+$AB62),2)</f>
        <v>1.85</v>
      </c>
      <c r="AH62" s="7">
        <f>ROUND($AD62*(1-(SUMIFS(PrefFlows!$C:$C,PrefFlows!$A:$A,$R$1,PrefFlows!$B:$B,$B62)+$AB62))+$AE62*(1-(SUMIFS(PrefFlows!$C:$C,PrefFlows!$A:$A,$S$1,PrefFlows!$B:$B,$B62)+$AB62))+$AF62*(1-(SUMIFS(PrefFlows!$C:$C,PrefFlows!$A:$A,$T$1,PrefFlows!$B:$B,$B62)+$AB62)),2)</f>
        <v>13.62</v>
      </c>
      <c r="AI62" s="10">
        <f t="shared" si="15"/>
        <v>26.16</v>
      </c>
      <c r="AJ62" s="7">
        <f t="shared" si="16"/>
        <v>64.8</v>
      </c>
      <c r="AK62" s="10">
        <f t="shared" si="17"/>
        <v>28.76</v>
      </c>
      <c r="AL62" s="7">
        <f t="shared" si="17"/>
        <v>71.239999999999995</v>
      </c>
      <c r="AM62" s="1">
        <f t="shared" si="22"/>
        <v>-22.6</v>
      </c>
      <c r="AN62" s="1">
        <f t="shared" si="23"/>
        <v>-20.63</v>
      </c>
      <c r="AO62" s="7">
        <f t="shared" si="24"/>
        <v>-21.24</v>
      </c>
      <c r="AP62" s="1" t="b">
        <f t="shared" si="18"/>
        <v>0</v>
      </c>
      <c r="AQ62" s="1" t="b">
        <f t="shared" si="18"/>
        <v>0</v>
      </c>
      <c r="AR62" s="7" t="b">
        <f t="shared" si="19"/>
        <v>0</v>
      </c>
      <c r="AS62" s="1">
        <f t="shared" si="20"/>
        <v>1.9700000000000024</v>
      </c>
      <c r="AT62" s="1">
        <f t="shared" si="20"/>
        <v>1.360000000000003</v>
      </c>
      <c r="AU62" s="7">
        <f t="shared" si="21"/>
        <v>0.60999999999999943</v>
      </c>
      <c r="AV62" s="1">
        <f>ROUND(IF(B62="NSW",N62*Meta!$B$6,N62),1)</f>
        <v>2895.7</v>
      </c>
      <c r="AW62" s="7">
        <f t="shared" si="25"/>
        <v>70973</v>
      </c>
    </row>
    <row r="63" spans="1:49" x14ac:dyDescent="0.55000000000000004">
      <c r="A63" s="11" t="s">
        <v>75</v>
      </c>
      <c r="B63" s="7" t="s">
        <v>13</v>
      </c>
      <c r="C63" s="10">
        <v>40.049999999999997</v>
      </c>
      <c r="D63" s="10">
        <v>43.96</v>
      </c>
      <c r="E63" s="10">
        <v>0</v>
      </c>
      <c r="F63" s="10">
        <v>0.89</v>
      </c>
      <c r="G63" s="10">
        <v>1.37</v>
      </c>
      <c r="H63" s="10">
        <v>3.6</v>
      </c>
      <c r="I63" s="10">
        <v>11.5</v>
      </c>
      <c r="J63" s="7">
        <f t="shared" si="4"/>
        <v>11.02</v>
      </c>
      <c r="K63" s="10">
        <v>50.58</v>
      </c>
      <c r="L63" s="7">
        <v>49.42</v>
      </c>
      <c r="M63" s="10">
        <v>86062</v>
      </c>
      <c r="N63" s="10">
        <v>10183</v>
      </c>
      <c r="O63" s="7">
        <f t="shared" si="5"/>
        <v>75879</v>
      </c>
      <c r="P63" s="10">
        <f>ROUND($C63+MIN($D63:$E63)*(1-SUMIFS(PrefFlows!$C:$C,PrefFlows!$A:$A,INDEX($D$1:$E$1,MATCH(MIN($D63:$E63),$D63:$E63,0)),PrefFlows!$B:$B,$B63)),2)</f>
        <v>40.049999999999997</v>
      </c>
      <c r="Q63" s="10">
        <f>ROUND(MAX($D63:$E63)+MIN($D63:$E63)*SUMIFS(PrefFlows!$C:$C,PrefFlows!$A:$A,INDEX($D$1:$E$1,MATCH(MIN($D63:$E63),$D63:$E63,0)),PrefFlows!$B:$B,$B63),2)</f>
        <v>43.96</v>
      </c>
      <c r="R63" s="10">
        <f t="shared" si="6"/>
        <v>1.37</v>
      </c>
      <c r="S63" s="10">
        <f t="shared" si="7"/>
        <v>3.6</v>
      </c>
      <c r="T63" s="7">
        <f t="shared" si="8"/>
        <v>11.02</v>
      </c>
      <c r="U63" s="9">
        <f t="shared" si="9"/>
        <v>3.91</v>
      </c>
      <c r="V63" s="10">
        <f>ROUND($R63*SUMIFS(PrefFlows!$C:$C,PrefFlows!$A:$A,$R$1,PrefFlows!$B:$B,$B63)+$S63*SUMIFS(PrefFlows!$C:$C,PrefFlows!$A:$A,$S$1,PrefFlows!$B:$B,$B63)+$T63*SUMIFS(PrefFlows!$C:$C,PrefFlows!$A:$A,$T$1,PrefFlows!$B:$B,$B63),2)</f>
        <v>7.16</v>
      </c>
      <c r="W63" s="7">
        <f>ROUND($R63*(1-SUMIFS(PrefFlows!$C:$C,PrefFlows!$A:$A,$R$1,PrefFlows!$B:$B,$B63))+$S63*(1-SUMIFS(PrefFlows!$C:$C,PrefFlows!$A:$A,$S$1,PrefFlows!$B:$B,$B63))+$T63*(1-SUMIFS(PrefFlows!$C:$C,PrefFlows!$A:$A,$T$1,PrefFlows!$B:$B,$B63)),2)</f>
        <v>8.83</v>
      </c>
      <c r="X63" s="10">
        <f t="shared" si="10"/>
        <v>6.62</v>
      </c>
      <c r="Y63" s="7">
        <f t="shared" si="11"/>
        <v>9.3699999999999992</v>
      </c>
      <c r="Z63" s="10">
        <f t="shared" si="12"/>
        <v>0.44779999999999998</v>
      </c>
      <c r="AA63" s="10">
        <f t="shared" si="13"/>
        <v>0.41399999999999998</v>
      </c>
      <c r="AB63" s="10">
        <f t="shared" si="14"/>
        <v>-3.3799999999999997E-2</v>
      </c>
      <c r="AC63" s="7">
        <v>6.5457062310217307E-2</v>
      </c>
      <c r="AD63" s="10">
        <f>ROUND(R63*(1-(Exhaust!$B$2+AC63)),2)</f>
        <v>0.51</v>
      </c>
      <c r="AE63" s="10">
        <f>ROUND(S63*(1-(Exhaust!$B$3+$AC63)),2)</f>
        <v>1.92</v>
      </c>
      <c r="AF63" s="7">
        <f>ROUND(T63*(1-(Exhaust!$B$4+$AC63)),2)</f>
        <v>4.79</v>
      </c>
      <c r="AG63" s="10">
        <f>ROUND($AD63*(SUMIFS(PrefFlows!$C:$C,PrefFlows!$A:$A,$R$1,PrefFlows!$B:$B,$B63)+$AB63)+$AE63*(SUMIFS(PrefFlows!$C:$C,PrefFlows!$A:$A,$S$1,PrefFlows!$B:$B,$B63)+$AB63)+$AF63*(SUMIFS(PrefFlows!$C:$C,PrefFlows!$A:$A,$T$1,PrefFlows!$B:$B,$B63)+$AB63),2)</f>
        <v>2.88</v>
      </c>
      <c r="AH63" s="7">
        <f>ROUND($AD63*(1-(SUMIFS(PrefFlows!$C:$C,PrefFlows!$A:$A,$R$1,PrefFlows!$B:$B,$B63)+$AB63))+$AE63*(1-(SUMIFS(PrefFlows!$C:$C,PrefFlows!$A:$A,$S$1,PrefFlows!$B:$B,$B63)+$AB63))+$AF63*(1-(SUMIFS(PrefFlows!$C:$C,PrefFlows!$A:$A,$T$1,PrefFlows!$B:$B,$B63)+$AB63)),2)</f>
        <v>4.34</v>
      </c>
      <c r="AI63" s="10">
        <f t="shared" si="15"/>
        <v>46.84</v>
      </c>
      <c r="AJ63" s="7">
        <f t="shared" si="16"/>
        <v>44.39</v>
      </c>
      <c r="AK63" s="10">
        <f t="shared" si="17"/>
        <v>51.34</v>
      </c>
      <c r="AL63" s="7">
        <f t="shared" si="17"/>
        <v>48.66</v>
      </c>
      <c r="AM63" s="1">
        <f t="shared" si="22"/>
        <v>0.57999999999999996</v>
      </c>
      <c r="AN63" s="1">
        <f t="shared" si="23"/>
        <v>1.34</v>
      </c>
      <c r="AO63" s="7">
        <f t="shared" si="24"/>
        <v>1.34</v>
      </c>
      <c r="AP63" s="1" t="b">
        <f t="shared" si="18"/>
        <v>0</v>
      </c>
      <c r="AQ63" s="1" t="b">
        <f t="shared" si="18"/>
        <v>0</v>
      </c>
      <c r="AR63" s="7" t="b">
        <f t="shared" si="19"/>
        <v>0</v>
      </c>
      <c r="AS63" s="1">
        <f t="shared" si="20"/>
        <v>0.76000000000000012</v>
      </c>
      <c r="AT63" s="1">
        <f t="shared" si="20"/>
        <v>0.76000000000000012</v>
      </c>
      <c r="AU63" s="7">
        <f t="shared" si="21"/>
        <v>0</v>
      </c>
      <c r="AV63" s="1">
        <f>ROUND(IF(B63="NSW",N63*Meta!$B$6,N63),1)</f>
        <v>6822.6</v>
      </c>
      <c r="AW63" s="7">
        <f t="shared" si="25"/>
        <v>74689.600000000006</v>
      </c>
    </row>
    <row r="64" spans="1:49" x14ac:dyDescent="0.55000000000000004">
      <c r="A64" s="11" t="s">
        <v>76</v>
      </c>
      <c r="B64" s="7" t="s">
        <v>8</v>
      </c>
      <c r="C64" s="10">
        <v>30.31</v>
      </c>
      <c r="D64" s="10">
        <v>56.49</v>
      </c>
      <c r="E64" s="10">
        <v>0</v>
      </c>
      <c r="F64" s="10">
        <v>2.34</v>
      </c>
      <c r="G64" s="10">
        <v>2.19</v>
      </c>
      <c r="H64" s="10">
        <v>3.3</v>
      </c>
      <c r="I64" s="10">
        <v>7.56</v>
      </c>
      <c r="J64" s="7">
        <f t="shared" si="4"/>
        <v>7.71</v>
      </c>
      <c r="K64" s="10">
        <v>63.82</v>
      </c>
      <c r="L64" s="7">
        <v>36.18</v>
      </c>
      <c r="M64" s="10">
        <v>91639</v>
      </c>
      <c r="N64" s="10">
        <v>4631</v>
      </c>
      <c r="O64" s="7">
        <f t="shared" si="5"/>
        <v>87008</v>
      </c>
      <c r="P64" s="10">
        <f>ROUND($C64+MIN($D64:$E64)*(1-SUMIFS(PrefFlows!$C:$C,PrefFlows!$A:$A,INDEX($D$1:$E$1,MATCH(MIN($D64:$E64),$D64:$E64,0)),PrefFlows!$B:$B,$B64)),2)</f>
        <v>30.31</v>
      </c>
      <c r="Q64" s="10">
        <f>ROUND(MAX($D64:$E64)+MIN($D64:$E64)*SUMIFS(PrefFlows!$C:$C,PrefFlows!$A:$A,INDEX($D$1:$E$1,MATCH(MIN($D64:$E64),$D64:$E64,0)),PrefFlows!$B:$B,$B64),2)</f>
        <v>56.49</v>
      </c>
      <c r="R64" s="10">
        <f t="shared" si="6"/>
        <v>2.19</v>
      </c>
      <c r="S64" s="10">
        <f t="shared" si="7"/>
        <v>3.3</v>
      </c>
      <c r="T64" s="7">
        <f t="shared" si="8"/>
        <v>7.71</v>
      </c>
      <c r="U64" s="9">
        <f t="shared" si="9"/>
        <v>26.18</v>
      </c>
      <c r="V64" s="10">
        <f>ROUND($R64*SUMIFS(PrefFlows!$C:$C,PrefFlows!$A:$A,$R$1,PrefFlows!$B:$B,$B64)+$S64*SUMIFS(PrefFlows!$C:$C,PrefFlows!$A:$A,$S$1,PrefFlows!$B:$B,$B64)+$T64*SUMIFS(PrefFlows!$C:$C,PrefFlows!$A:$A,$T$1,PrefFlows!$B:$B,$B64),2)</f>
        <v>5.84</v>
      </c>
      <c r="W64" s="7">
        <f>ROUND($R64*(1-SUMIFS(PrefFlows!$C:$C,PrefFlows!$A:$A,$R$1,PrefFlows!$B:$B,$B64))+$S64*(1-SUMIFS(PrefFlows!$C:$C,PrefFlows!$A:$A,$S$1,PrefFlows!$B:$B,$B64))+$T64*(1-SUMIFS(PrefFlows!$C:$C,PrefFlows!$A:$A,$T$1,PrefFlows!$B:$B,$B64)),2)</f>
        <v>7.36</v>
      </c>
      <c r="X64" s="10">
        <f t="shared" si="10"/>
        <v>7.33</v>
      </c>
      <c r="Y64" s="7">
        <f t="shared" si="11"/>
        <v>5.87</v>
      </c>
      <c r="Z64" s="10">
        <f t="shared" si="12"/>
        <v>0.44240000000000002</v>
      </c>
      <c r="AA64" s="10">
        <f t="shared" si="13"/>
        <v>0.55530000000000002</v>
      </c>
      <c r="AB64" s="10">
        <f t="shared" si="14"/>
        <v>0.1129</v>
      </c>
      <c r="AC64" s="7">
        <v>3.8234563854944198E-2</v>
      </c>
      <c r="AD64" s="10">
        <f>ROUND(R64*(1-(Exhaust!$B$2+AC64)),2)</f>
        <v>0.88</v>
      </c>
      <c r="AE64" s="10">
        <f>ROUND(S64*(1-(Exhaust!$B$3+$AC64)),2)</f>
        <v>1.85</v>
      </c>
      <c r="AF64" s="7">
        <f>ROUND(T64*(1-(Exhaust!$B$4+$AC64)),2)</f>
        <v>3.56</v>
      </c>
      <c r="AG64" s="10">
        <f>ROUND($AD64*(SUMIFS(PrefFlows!$C:$C,PrefFlows!$A:$A,$R$1,PrefFlows!$B:$B,$B64)+$AB64)+$AE64*(SUMIFS(PrefFlows!$C:$C,PrefFlows!$A:$A,$S$1,PrefFlows!$B:$B,$B64)+$AB64)+$AF64*(SUMIFS(PrefFlows!$C:$C,PrefFlows!$A:$A,$T$1,PrefFlows!$B:$B,$B64)+$AB64),2)</f>
        <v>3.4</v>
      </c>
      <c r="AH64" s="7">
        <f>ROUND($AD64*(1-(SUMIFS(PrefFlows!$C:$C,PrefFlows!$A:$A,$R$1,PrefFlows!$B:$B,$B64)+$AB64))+$AE64*(1-(SUMIFS(PrefFlows!$C:$C,PrefFlows!$A:$A,$S$1,PrefFlows!$B:$B,$B64)+$AB64))+$AF64*(1-(SUMIFS(PrefFlows!$C:$C,PrefFlows!$A:$A,$T$1,PrefFlows!$B:$B,$B64)+$AB64)),2)</f>
        <v>2.89</v>
      </c>
      <c r="AI64" s="10">
        <f t="shared" si="15"/>
        <v>59.89</v>
      </c>
      <c r="AJ64" s="7">
        <f t="shared" si="16"/>
        <v>33.200000000000003</v>
      </c>
      <c r="AK64" s="10">
        <f t="shared" si="17"/>
        <v>64.34</v>
      </c>
      <c r="AL64" s="7">
        <f t="shared" si="17"/>
        <v>35.659999999999997</v>
      </c>
      <c r="AM64" s="1">
        <f t="shared" si="22"/>
        <v>13.82</v>
      </c>
      <c r="AN64" s="1">
        <f t="shared" si="23"/>
        <v>14.38</v>
      </c>
      <c r="AO64" s="7">
        <f t="shared" si="24"/>
        <v>14.34</v>
      </c>
      <c r="AP64" s="1" t="b">
        <f t="shared" si="18"/>
        <v>0</v>
      </c>
      <c r="AQ64" s="1" t="b">
        <f t="shared" si="18"/>
        <v>0</v>
      </c>
      <c r="AR64" s="7" t="b">
        <f t="shared" si="19"/>
        <v>0</v>
      </c>
      <c r="AS64" s="1">
        <f t="shared" si="20"/>
        <v>0.5600000000000005</v>
      </c>
      <c r="AT64" s="1">
        <f t="shared" si="20"/>
        <v>0.51999999999999957</v>
      </c>
      <c r="AU64" s="7">
        <f t="shared" si="21"/>
        <v>4.0000000000000924E-2</v>
      </c>
      <c r="AV64" s="1">
        <f>ROUND(IF(B64="NSW",N64*Meta!$B$6,N64),1)</f>
        <v>4631</v>
      </c>
      <c r="AW64" s="7">
        <f t="shared" si="25"/>
        <v>82657.7</v>
      </c>
    </row>
    <row r="65" spans="1:49" x14ac:dyDescent="0.55000000000000004">
      <c r="A65" s="11" t="s">
        <v>77</v>
      </c>
      <c r="B65" s="7" t="s">
        <v>23</v>
      </c>
      <c r="C65" s="10">
        <v>48.74</v>
      </c>
      <c r="D65" s="10">
        <v>37.299999999999997</v>
      </c>
      <c r="E65" s="10">
        <v>0</v>
      </c>
      <c r="F65" s="10">
        <v>1.35</v>
      </c>
      <c r="G65" s="10">
        <v>0</v>
      </c>
      <c r="H65" s="10">
        <v>8.99</v>
      </c>
      <c r="I65" s="10">
        <v>3.62</v>
      </c>
      <c r="J65" s="7">
        <f t="shared" si="4"/>
        <v>4.97</v>
      </c>
      <c r="K65" s="10">
        <v>41.37</v>
      </c>
      <c r="L65" s="7">
        <v>58.63</v>
      </c>
      <c r="M65" s="10">
        <v>84105</v>
      </c>
      <c r="N65" s="10">
        <v>3585</v>
      </c>
      <c r="O65" s="7">
        <f t="shared" si="5"/>
        <v>80520</v>
      </c>
      <c r="P65" s="10">
        <f>ROUND($C65+MIN($D65:$E65)*(1-SUMIFS(PrefFlows!$C:$C,PrefFlows!$A:$A,INDEX($D$1:$E$1,MATCH(MIN($D65:$E65),$D65:$E65,0)),PrefFlows!$B:$B,$B65)),2)</f>
        <v>48.74</v>
      </c>
      <c r="Q65" s="10">
        <f>ROUND(MAX($D65:$E65)+MIN($D65:$E65)*SUMIFS(PrefFlows!$C:$C,PrefFlows!$A:$A,INDEX($D$1:$E$1,MATCH(MIN($D65:$E65),$D65:$E65,0)),PrefFlows!$B:$B,$B65),2)</f>
        <v>37.299999999999997</v>
      </c>
      <c r="R65" s="10">
        <f t="shared" si="6"/>
        <v>0</v>
      </c>
      <c r="S65" s="10">
        <f t="shared" si="7"/>
        <v>8.99</v>
      </c>
      <c r="T65" s="7">
        <f t="shared" si="8"/>
        <v>4.97</v>
      </c>
      <c r="U65" s="9">
        <f t="shared" si="9"/>
        <v>-11.44</v>
      </c>
      <c r="V65" s="10">
        <f>ROUND($R65*SUMIFS(PrefFlows!$C:$C,PrefFlows!$A:$A,$R$1,PrefFlows!$B:$B,$B65)+$S65*SUMIFS(PrefFlows!$C:$C,PrefFlows!$A:$A,$S$1,PrefFlows!$B:$B,$B65)+$T65*SUMIFS(PrefFlows!$C:$C,PrefFlows!$A:$A,$T$1,PrefFlows!$B:$B,$B65),2)</f>
        <v>4.78</v>
      </c>
      <c r="W65" s="7">
        <f>ROUND($R65*(1-SUMIFS(PrefFlows!$C:$C,PrefFlows!$A:$A,$R$1,PrefFlows!$B:$B,$B65))+$S65*(1-SUMIFS(PrefFlows!$C:$C,PrefFlows!$A:$A,$S$1,PrefFlows!$B:$B,$B65))+$T65*(1-SUMIFS(PrefFlows!$C:$C,PrefFlows!$A:$A,$T$1,PrefFlows!$B:$B,$B65)),2)</f>
        <v>9.18</v>
      </c>
      <c r="X65" s="10">
        <f t="shared" si="10"/>
        <v>4.07</v>
      </c>
      <c r="Y65" s="7">
        <f t="shared" si="11"/>
        <v>9.89</v>
      </c>
      <c r="Z65" s="10">
        <f t="shared" si="12"/>
        <v>0.34239999999999998</v>
      </c>
      <c r="AA65" s="10">
        <f t="shared" si="13"/>
        <v>0.29149999999999998</v>
      </c>
      <c r="AB65" s="10">
        <f t="shared" si="14"/>
        <v>-5.0900000000000001E-2</v>
      </c>
      <c r="AC65" s="7">
        <v>-6.2196769345949199E-2</v>
      </c>
      <c r="AD65" s="10">
        <f>ROUND(R65*(1-(Exhaust!$B$2+AC65)),2)</f>
        <v>0</v>
      </c>
      <c r="AE65" s="10">
        <f>ROUND(S65*(1-(Exhaust!$B$3+$AC65)),2)</f>
        <v>5.95</v>
      </c>
      <c r="AF65" s="7">
        <f>ROUND(T65*(1-(Exhaust!$B$4+$AC65)),2)</f>
        <v>2.79</v>
      </c>
      <c r="AG65" s="10">
        <f>ROUND($AD65*(SUMIFS(PrefFlows!$C:$C,PrefFlows!$A:$A,$R$1,PrefFlows!$B:$B,$B65)+$AB65)+$AE65*(SUMIFS(PrefFlows!$C:$C,PrefFlows!$A:$A,$S$1,PrefFlows!$B:$B,$B65)+$AB65)+$AF65*(SUMIFS(PrefFlows!$C:$C,PrefFlows!$A:$A,$T$1,PrefFlows!$B:$B,$B65)+$AB65),2)</f>
        <v>2.4700000000000002</v>
      </c>
      <c r="AH65" s="7">
        <f>ROUND($AD65*(1-(SUMIFS(PrefFlows!$C:$C,PrefFlows!$A:$A,$R$1,PrefFlows!$B:$B,$B65)+$AB65))+$AE65*(1-(SUMIFS(PrefFlows!$C:$C,PrefFlows!$A:$A,$S$1,PrefFlows!$B:$B,$B65)+$AB65))+$AF65*(1-(SUMIFS(PrefFlows!$C:$C,PrefFlows!$A:$A,$T$1,PrefFlows!$B:$B,$B65)+$AB65)),2)</f>
        <v>6.27</v>
      </c>
      <c r="AI65" s="10">
        <f t="shared" si="15"/>
        <v>39.770000000000003</v>
      </c>
      <c r="AJ65" s="7">
        <f t="shared" si="16"/>
        <v>55.01</v>
      </c>
      <c r="AK65" s="10">
        <f t="shared" si="17"/>
        <v>41.96</v>
      </c>
      <c r="AL65" s="7">
        <f t="shared" si="17"/>
        <v>58.04</v>
      </c>
      <c r="AM65" s="1">
        <f t="shared" si="22"/>
        <v>-8.6300000000000008</v>
      </c>
      <c r="AN65" s="1">
        <f t="shared" si="23"/>
        <v>-7.75</v>
      </c>
      <c r="AO65" s="7">
        <f t="shared" si="24"/>
        <v>-8.0399999999999991</v>
      </c>
      <c r="AP65" s="1" t="b">
        <f t="shared" si="18"/>
        <v>0</v>
      </c>
      <c r="AQ65" s="1" t="b">
        <f t="shared" si="18"/>
        <v>0</v>
      </c>
      <c r="AR65" s="7" t="b">
        <f t="shared" si="19"/>
        <v>0</v>
      </c>
      <c r="AS65" s="1">
        <f t="shared" si="20"/>
        <v>0.88000000000000078</v>
      </c>
      <c r="AT65" s="1">
        <f t="shared" si="20"/>
        <v>0.59000000000000163</v>
      </c>
      <c r="AU65" s="7">
        <f t="shared" si="21"/>
        <v>0.28999999999999915</v>
      </c>
      <c r="AV65" s="1">
        <f>ROUND(IF(B65="NSW",N65*Meta!$B$6,N65),1)</f>
        <v>3585</v>
      </c>
      <c r="AW65" s="7">
        <f t="shared" si="25"/>
        <v>77626.8</v>
      </c>
    </row>
    <row r="66" spans="1:49" x14ac:dyDescent="0.55000000000000004">
      <c r="A66" s="11" t="s">
        <v>78</v>
      </c>
      <c r="B66" s="7" t="s">
        <v>23</v>
      </c>
      <c r="C66" s="10">
        <v>23.98</v>
      </c>
      <c r="D66" s="10">
        <v>60.36</v>
      </c>
      <c r="E66" s="10">
        <v>0</v>
      </c>
      <c r="F66" s="10">
        <v>1.06</v>
      </c>
      <c r="G66" s="10">
        <v>0</v>
      </c>
      <c r="H66" s="10">
        <v>4</v>
      </c>
      <c r="I66" s="10">
        <v>10.6</v>
      </c>
      <c r="J66" s="7">
        <f t="shared" si="4"/>
        <v>11.66</v>
      </c>
      <c r="K66" s="10">
        <v>68.95</v>
      </c>
      <c r="L66" s="7">
        <v>31.05</v>
      </c>
      <c r="M66" s="10">
        <v>84788</v>
      </c>
      <c r="N66" s="10">
        <v>3392</v>
      </c>
      <c r="O66" s="7">
        <f t="shared" si="5"/>
        <v>81396</v>
      </c>
      <c r="P66" s="10">
        <f>ROUND($C66+MIN($D66:$E66)*(1-SUMIFS(PrefFlows!$C:$C,PrefFlows!$A:$A,INDEX($D$1:$E$1,MATCH(MIN($D66:$E66),$D66:$E66,0)),PrefFlows!$B:$B,$B66)),2)</f>
        <v>23.98</v>
      </c>
      <c r="Q66" s="10">
        <f>ROUND(MAX($D66:$E66)+MIN($D66:$E66)*SUMIFS(PrefFlows!$C:$C,PrefFlows!$A:$A,INDEX($D$1:$E$1,MATCH(MIN($D66:$E66),$D66:$E66,0)),PrefFlows!$B:$B,$B66),2)</f>
        <v>60.36</v>
      </c>
      <c r="R66" s="10">
        <f t="shared" si="6"/>
        <v>0</v>
      </c>
      <c r="S66" s="10">
        <f t="shared" si="7"/>
        <v>4</v>
      </c>
      <c r="T66" s="7">
        <f t="shared" si="8"/>
        <v>11.66</v>
      </c>
      <c r="U66" s="9">
        <f t="shared" si="9"/>
        <v>36.380000000000003</v>
      </c>
      <c r="V66" s="10">
        <f>ROUND($R66*SUMIFS(PrefFlows!$C:$C,PrefFlows!$A:$A,$R$1,PrefFlows!$B:$B,$B66)+$S66*SUMIFS(PrefFlows!$C:$C,PrefFlows!$A:$A,$S$1,PrefFlows!$B:$B,$B66)+$T66*SUMIFS(PrefFlows!$C:$C,PrefFlows!$A:$A,$T$1,PrefFlows!$B:$B,$B66),2)</f>
        <v>6.92</v>
      </c>
      <c r="W66" s="7">
        <f>ROUND($R66*(1-SUMIFS(PrefFlows!$C:$C,PrefFlows!$A:$A,$R$1,PrefFlows!$B:$B,$B66))+$S66*(1-SUMIFS(PrefFlows!$C:$C,PrefFlows!$A:$A,$S$1,PrefFlows!$B:$B,$B66))+$T66*(1-SUMIFS(PrefFlows!$C:$C,PrefFlows!$A:$A,$T$1,PrefFlows!$B:$B,$B66)),2)</f>
        <v>8.74</v>
      </c>
      <c r="X66" s="10">
        <f t="shared" si="10"/>
        <v>8.59</v>
      </c>
      <c r="Y66" s="7">
        <f t="shared" si="11"/>
        <v>7.07</v>
      </c>
      <c r="Z66" s="10">
        <f t="shared" si="12"/>
        <v>0.44190000000000002</v>
      </c>
      <c r="AA66" s="10">
        <f t="shared" si="13"/>
        <v>0.54849999999999999</v>
      </c>
      <c r="AB66" s="10">
        <f t="shared" si="14"/>
        <v>0.1066</v>
      </c>
      <c r="AC66" s="7">
        <v>2.4401027739166499E-3</v>
      </c>
      <c r="AD66" s="10">
        <f>ROUND(R66*(1-(Exhaust!$B$2+AC66)),2)</f>
        <v>0</v>
      </c>
      <c r="AE66" s="10">
        <f>ROUND(S66*(1-(Exhaust!$B$3+$AC66)),2)</f>
        <v>2.39</v>
      </c>
      <c r="AF66" s="7">
        <f>ROUND(T66*(1-(Exhaust!$B$4+$AC66)),2)</f>
        <v>5.8</v>
      </c>
      <c r="AG66" s="10">
        <f>ROUND($AD66*(SUMIFS(PrefFlows!$C:$C,PrefFlows!$A:$A,$R$1,PrefFlows!$B:$B,$B66)+$AB66)+$AE66*(SUMIFS(PrefFlows!$C:$C,PrefFlows!$A:$A,$S$1,PrefFlows!$B:$B,$B66)+$AB66)+$AF66*(SUMIFS(PrefFlows!$C:$C,PrefFlows!$A:$A,$T$1,PrefFlows!$B:$B,$B66)+$AB66),2)</f>
        <v>4.42</v>
      </c>
      <c r="AH66" s="7">
        <f>ROUND($AD66*(1-(SUMIFS(PrefFlows!$C:$C,PrefFlows!$A:$A,$R$1,PrefFlows!$B:$B,$B66)+$AB66))+$AE66*(1-(SUMIFS(PrefFlows!$C:$C,PrefFlows!$A:$A,$S$1,PrefFlows!$B:$B,$B66)+$AB66))+$AF66*(1-(SUMIFS(PrefFlows!$C:$C,PrefFlows!$A:$A,$T$1,PrefFlows!$B:$B,$B66)+$AB66)),2)</f>
        <v>3.77</v>
      </c>
      <c r="AI66" s="10">
        <f t="shared" si="15"/>
        <v>64.78</v>
      </c>
      <c r="AJ66" s="7">
        <f t="shared" si="16"/>
        <v>27.75</v>
      </c>
      <c r="AK66" s="10">
        <f t="shared" si="17"/>
        <v>70.010000000000005</v>
      </c>
      <c r="AL66" s="7">
        <f t="shared" si="17"/>
        <v>29.99</v>
      </c>
      <c r="AM66" s="1">
        <f t="shared" ref="AM66:AM97" si="26">ROUND(K66-50,2)</f>
        <v>18.95</v>
      </c>
      <c r="AN66" s="1">
        <f t="shared" ref="AN66:AN97" si="27">ROUND((Q66+X66*0.52)/((Q66+X66*0.52)+(P66+Y66*0.52))*100-50,2)</f>
        <v>20.100000000000001</v>
      </c>
      <c r="AO66" s="7">
        <f t="shared" ref="AO66:AO97" si="28">ROUND(AK66-50,2)</f>
        <v>20.010000000000002</v>
      </c>
      <c r="AP66" s="1" t="b">
        <f t="shared" si="18"/>
        <v>0</v>
      </c>
      <c r="AQ66" s="1" t="b">
        <f t="shared" si="18"/>
        <v>0</v>
      </c>
      <c r="AR66" s="7" t="b">
        <f t="shared" si="19"/>
        <v>0</v>
      </c>
      <c r="AS66" s="1">
        <f t="shared" si="20"/>
        <v>1.1500000000000021</v>
      </c>
      <c r="AT66" s="1">
        <f t="shared" si="20"/>
        <v>1.0600000000000023</v>
      </c>
      <c r="AU66" s="7">
        <f t="shared" si="21"/>
        <v>8.9999999999999858E-2</v>
      </c>
      <c r="AV66" s="1">
        <f>ROUND(IF(B66="NSW",N66*Meta!$B$6,N66),1)</f>
        <v>3392</v>
      </c>
      <c r="AW66" s="7">
        <f t="shared" ref="AW66:AW97" si="29">ROUND((M66-AV66*($AV$153/$AV$152))*SUM($AI66:$AJ66)/100,1)</f>
        <v>76525.7</v>
      </c>
    </row>
    <row r="67" spans="1:49" x14ac:dyDescent="0.55000000000000004">
      <c r="A67" s="11" t="s">
        <v>79</v>
      </c>
      <c r="B67" s="7" t="s">
        <v>13</v>
      </c>
      <c r="C67" s="10">
        <v>22.95</v>
      </c>
      <c r="D67" s="10">
        <v>0</v>
      </c>
      <c r="E67" s="10">
        <v>61.95</v>
      </c>
      <c r="F67" s="10">
        <v>0</v>
      </c>
      <c r="G67" s="10">
        <v>4.54</v>
      </c>
      <c r="H67" s="10">
        <v>4.4800000000000004</v>
      </c>
      <c r="I67" s="10">
        <v>10.62</v>
      </c>
      <c r="J67" s="7">
        <f t="shared" ref="J67:J130" si="30">ROUND(F67+I67-G67,2)</f>
        <v>6.08</v>
      </c>
      <c r="K67" s="10">
        <v>68.39</v>
      </c>
      <c r="L67" s="7">
        <v>31.61</v>
      </c>
      <c r="M67" s="10">
        <v>78622</v>
      </c>
      <c r="N67" s="10">
        <v>2830</v>
      </c>
      <c r="O67" s="7">
        <f t="shared" ref="O67:O130" si="31">ROUND(M67-N67,0)</f>
        <v>75792</v>
      </c>
      <c r="P67" s="10">
        <f>ROUND($C67+MIN($D67:$E67)*(1-SUMIFS(PrefFlows!$C:$C,PrefFlows!$A:$A,INDEX($D$1:$E$1,MATCH(MIN($D67:$E67),$D67:$E67,0)),PrefFlows!$B:$B,$B67)),2)</f>
        <v>22.95</v>
      </c>
      <c r="Q67" s="10">
        <f>ROUND(MAX($D67:$E67)+MIN($D67:$E67)*SUMIFS(PrefFlows!$C:$C,PrefFlows!$A:$A,INDEX($D$1:$E$1,MATCH(MIN($D67:$E67),$D67:$E67,0)),PrefFlows!$B:$B,$B67),2)</f>
        <v>61.95</v>
      </c>
      <c r="R67" s="10">
        <f t="shared" ref="R67:R130" si="32">ROUND(G67,2)</f>
        <v>4.54</v>
      </c>
      <c r="S67" s="10">
        <f t="shared" ref="S67:S130" si="33">ROUND(H67,2)</f>
        <v>4.4800000000000004</v>
      </c>
      <c r="T67" s="7">
        <f t="shared" ref="T67:T130" si="34">ROUND(J67,2)</f>
        <v>6.08</v>
      </c>
      <c r="U67" s="9">
        <f t="shared" ref="U67:U130" si="35">ROUND(Q67-P67,2)</f>
        <v>39</v>
      </c>
      <c r="V67" s="10">
        <f>ROUND($R67*SUMIFS(PrefFlows!$C:$C,PrefFlows!$A:$A,$R$1,PrefFlows!$B:$B,$B67)+$S67*SUMIFS(PrefFlows!$C:$C,PrefFlows!$A:$A,$S$1,PrefFlows!$B:$B,$B67)+$T67*SUMIFS(PrefFlows!$C:$C,PrefFlows!$A:$A,$T$1,PrefFlows!$B:$B,$B67),2)</f>
        <v>6.41</v>
      </c>
      <c r="W67" s="7">
        <f>ROUND($R67*(1-SUMIFS(PrefFlows!$C:$C,PrefFlows!$A:$A,$R$1,PrefFlows!$B:$B,$B67))+$S67*(1-SUMIFS(PrefFlows!$C:$C,PrefFlows!$A:$A,$S$1,PrefFlows!$B:$B,$B67))+$T67*(1-SUMIFS(PrefFlows!$C:$C,PrefFlows!$A:$A,$T$1,PrefFlows!$B:$B,$B67)),2)</f>
        <v>8.69</v>
      </c>
      <c r="X67" s="10">
        <f t="shared" ref="X67:X130" si="36">ROUND(K67-Q67,2)</f>
        <v>6.44</v>
      </c>
      <c r="Y67" s="7">
        <f t="shared" ref="Y67:Y130" si="37">ROUND(L67-P67,2)</f>
        <v>8.66</v>
      </c>
      <c r="Z67" s="10">
        <f t="shared" ref="Z67:Z130" si="38">ROUND(V67/SUM(V67:W67),4)</f>
        <v>0.42449999999999999</v>
      </c>
      <c r="AA67" s="10">
        <f t="shared" ref="AA67:AA130" si="39">ROUND(X67/SUM(X67:Y67),4)</f>
        <v>0.42649999999999999</v>
      </c>
      <c r="AB67" s="10">
        <f t="shared" ref="AB67:AB130" si="40">ROUND(AA67-Z67,4)</f>
        <v>2E-3</v>
      </c>
      <c r="AC67" s="7">
        <v>6.1305447704268302E-2</v>
      </c>
      <c r="AD67" s="10">
        <f>ROUND(R67*(1-(Exhaust!$B$2+AC67)),2)</f>
        <v>1.72</v>
      </c>
      <c r="AE67" s="10">
        <f>ROUND(S67*(1-(Exhaust!$B$3+$AC67)),2)</f>
        <v>2.41</v>
      </c>
      <c r="AF67" s="7">
        <f>ROUND(T67*(1-(Exhaust!$B$4+$AC67)),2)</f>
        <v>2.67</v>
      </c>
      <c r="AG67" s="10">
        <f>ROUND($AD67*(SUMIFS(PrefFlows!$C:$C,PrefFlows!$A:$A,$R$1,PrefFlows!$B:$B,$B67)+$AB67)+$AE67*(SUMIFS(PrefFlows!$C:$C,PrefFlows!$A:$A,$S$1,PrefFlows!$B:$B,$B67)+$AB67)+$AF67*(SUMIFS(PrefFlows!$C:$C,PrefFlows!$A:$A,$T$1,PrefFlows!$B:$B,$B67)+$AB67),2)</f>
        <v>2.76</v>
      </c>
      <c r="AH67" s="7">
        <f>ROUND($AD67*(1-(SUMIFS(PrefFlows!$C:$C,PrefFlows!$A:$A,$R$1,PrefFlows!$B:$B,$B67)+$AB67))+$AE67*(1-(SUMIFS(PrefFlows!$C:$C,PrefFlows!$A:$A,$S$1,PrefFlows!$B:$B,$B67)+$AB67))+$AF67*(1-(SUMIFS(PrefFlows!$C:$C,PrefFlows!$A:$A,$T$1,PrefFlows!$B:$B,$B67)+$AB67)),2)</f>
        <v>4.04</v>
      </c>
      <c r="AI67" s="10">
        <f t="shared" ref="AI67:AI130" si="41">ROUND(Q67+AG67,2)</f>
        <v>64.709999999999994</v>
      </c>
      <c r="AJ67" s="7">
        <f t="shared" ref="AJ67:AJ130" si="42">ROUND(P67+AH67,2)</f>
        <v>26.99</v>
      </c>
      <c r="AK67" s="10">
        <f t="shared" ref="AK67:AL130" si="43">ROUND(AI67/SUM($AI67:$AJ67)*100,2)</f>
        <v>70.569999999999993</v>
      </c>
      <c r="AL67" s="7">
        <f t="shared" si="43"/>
        <v>29.43</v>
      </c>
      <c r="AM67" s="1">
        <f t="shared" si="26"/>
        <v>18.39</v>
      </c>
      <c r="AN67" s="1">
        <f t="shared" si="27"/>
        <v>20.399999999999999</v>
      </c>
      <c r="AO67" s="7">
        <f t="shared" si="28"/>
        <v>20.57</v>
      </c>
      <c r="AP67" s="1" t="b">
        <f t="shared" ref="AP67:AQ130" si="44">$AM67/AN67&lt;0</f>
        <v>0</v>
      </c>
      <c r="AQ67" s="1" t="b">
        <f t="shared" si="44"/>
        <v>0</v>
      </c>
      <c r="AR67" s="7" t="b">
        <f t="shared" ref="AR67:AR130" si="45">AN67/AO67&lt;0</f>
        <v>0</v>
      </c>
      <c r="AS67" s="1">
        <f t="shared" ref="AS67:AT130" si="46">(AN67-$AM67)</f>
        <v>2.009999999999998</v>
      </c>
      <c r="AT67" s="1">
        <f t="shared" si="46"/>
        <v>2.1799999999999997</v>
      </c>
      <c r="AU67" s="7">
        <f t="shared" ref="AU67:AU130" si="47">ABS(AO67-$AN67)</f>
        <v>0.17000000000000171</v>
      </c>
      <c r="AV67" s="1">
        <f>ROUND(IF(B67="NSW",N67*Meta!$B$6,N67),1)</f>
        <v>1896.1</v>
      </c>
      <c r="AW67" s="7">
        <f t="shared" si="29"/>
        <v>71028</v>
      </c>
    </row>
    <row r="68" spans="1:49" x14ac:dyDescent="0.55000000000000004">
      <c r="A68" s="11" t="s">
        <v>80</v>
      </c>
      <c r="B68" s="7" t="s">
        <v>31</v>
      </c>
      <c r="C68" s="10">
        <v>38.29</v>
      </c>
      <c r="D68" s="10">
        <v>45.37</v>
      </c>
      <c r="E68" s="10">
        <v>0</v>
      </c>
      <c r="F68" s="10">
        <v>1.73</v>
      </c>
      <c r="G68" s="10">
        <v>3.37</v>
      </c>
      <c r="H68" s="10">
        <v>6.86</v>
      </c>
      <c r="I68" s="10">
        <v>7.75</v>
      </c>
      <c r="J68" s="7">
        <f t="shared" si="30"/>
        <v>6.11</v>
      </c>
      <c r="K68" s="10">
        <v>51.82</v>
      </c>
      <c r="L68" s="7">
        <v>48.18</v>
      </c>
      <c r="M68" s="10">
        <v>75298</v>
      </c>
      <c r="N68" s="10">
        <v>3752</v>
      </c>
      <c r="O68" s="7">
        <f t="shared" si="31"/>
        <v>71546</v>
      </c>
      <c r="P68" s="10">
        <f>ROUND($C68+MIN($D68:$E68)*(1-SUMIFS(PrefFlows!$C:$C,PrefFlows!$A:$A,INDEX($D$1:$E$1,MATCH(MIN($D68:$E68),$D68:$E68,0)),PrefFlows!$B:$B,$B68)),2)</f>
        <v>38.29</v>
      </c>
      <c r="Q68" s="10">
        <f>ROUND(MAX($D68:$E68)+MIN($D68:$E68)*SUMIFS(PrefFlows!$C:$C,PrefFlows!$A:$A,INDEX($D$1:$E$1,MATCH(MIN($D68:$E68),$D68:$E68,0)),PrefFlows!$B:$B,$B68),2)</f>
        <v>45.37</v>
      </c>
      <c r="R68" s="10">
        <f t="shared" si="32"/>
        <v>3.37</v>
      </c>
      <c r="S68" s="10">
        <f t="shared" si="33"/>
        <v>6.86</v>
      </c>
      <c r="T68" s="7">
        <f t="shared" si="34"/>
        <v>6.11</v>
      </c>
      <c r="U68" s="9">
        <f t="shared" si="35"/>
        <v>7.08</v>
      </c>
      <c r="V68" s="10">
        <f>ROUND($R68*SUMIFS(PrefFlows!$C:$C,PrefFlows!$A:$A,$R$1,PrefFlows!$B:$B,$B68)+$S68*SUMIFS(PrefFlows!$C:$C,PrefFlows!$A:$A,$S$1,PrefFlows!$B:$B,$B68)+$T68*SUMIFS(PrefFlows!$C:$C,PrefFlows!$A:$A,$T$1,PrefFlows!$B:$B,$B68),2)</f>
        <v>6.64</v>
      </c>
      <c r="W68" s="7">
        <f>ROUND($R68*(1-SUMIFS(PrefFlows!$C:$C,PrefFlows!$A:$A,$R$1,PrefFlows!$B:$B,$B68))+$S68*(1-SUMIFS(PrefFlows!$C:$C,PrefFlows!$A:$A,$S$1,PrefFlows!$B:$B,$B68))+$T68*(1-SUMIFS(PrefFlows!$C:$C,PrefFlows!$A:$A,$T$1,PrefFlows!$B:$B,$B68)),2)</f>
        <v>9.6999999999999993</v>
      </c>
      <c r="X68" s="10">
        <f t="shared" si="36"/>
        <v>6.45</v>
      </c>
      <c r="Y68" s="7">
        <f t="shared" si="37"/>
        <v>9.89</v>
      </c>
      <c r="Z68" s="10">
        <f t="shared" si="38"/>
        <v>0.40639999999999998</v>
      </c>
      <c r="AA68" s="10">
        <f t="shared" si="39"/>
        <v>0.3947</v>
      </c>
      <c r="AB68" s="10">
        <f t="shared" si="40"/>
        <v>-1.17E-2</v>
      </c>
      <c r="AC68" s="7">
        <v>4.1476059355011398E-2</v>
      </c>
      <c r="AD68" s="10">
        <f>ROUND(R68*(1-(Exhaust!$B$2+AC68)),2)</f>
        <v>1.34</v>
      </c>
      <c r="AE68" s="10">
        <f>ROUND(S68*(1-(Exhaust!$B$3+$AC68)),2)</f>
        <v>3.83</v>
      </c>
      <c r="AF68" s="7">
        <f>ROUND(T68*(1-(Exhaust!$B$4+$AC68)),2)</f>
        <v>2.8</v>
      </c>
      <c r="AG68" s="10">
        <f>ROUND($AD68*(SUMIFS(PrefFlows!$C:$C,PrefFlows!$A:$A,$R$1,PrefFlows!$B:$B,$B68)+$AB68)+$AE68*(SUMIFS(PrefFlows!$C:$C,PrefFlows!$A:$A,$S$1,PrefFlows!$B:$B,$B68)+$AB68)+$AF68*(SUMIFS(PrefFlows!$C:$C,PrefFlows!$A:$A,$T$1,PrefFlows!$B:$B,$B68)+$AB68),2)</f>
        <v>2.99</v>
      </c>
      <c r="AH68" s="7">
        <f>ROUND($AD68*(1-(SUMIFS(PrefFlows!$C:$C,PrefFlows!$A:$A,$R$1,PrefFlows!$B:$B,$B68)+$AB68))+$AE68*(1-(SUMIFS(PrefFlows!$C:$C,PrefFlows!$A:$A,$S$1,PrefFlows!$B:$B,$B68)+$AB68))+$AF68*(1-(SUMIFS(PrefFlows!$C:$C,PrefFlows!$A:$A,$T$1,PrefFlows!$B:$B,$B68)+$AB68)),2)</f>
        <v>4.9800000000000004</v>
      </c>
      <c r="AI68" s="10">
        <f t="shared" si="41"/>
        <v>48.36</v>
      </c>
      <c r="AJ68" s="7">
        <f t="shared" si="42"/>
        <v>43.27</v>
      </c>
      <c r="AK68" s="10">
        <f t="shared" si="43"/>
        <v>52.78</v>
      </c>
      <c r="AL68" s="7">
        <f t="shared" si="43"/>
        <v>47.22</v>
      </c>
      <c r="AM68" s="1">
        <f t="shared" si="26"/>
        <v>1.82</v>
      </c>
      <c r="AN68" s="1">
        <f t="shared" si="27"/>
        <v>2.87</v>
      </c>
      <c r="AO68" s="7">
        <f t="shared" si="28"/>
        <v>2.78</v>
      </c>
      <c r="AP68" s="1" t="b">
        <f t="shared" si="44"/>
        <v>0</v>
      </c>
      <c r="AQ68" s="1" t="b">
        <f t="shared" si="44"/>
        <v>0</v>
      </c>
      <c r="AR68" s="7" t="b">
        <f t="shared" si="45"/>
        <v>0</v>
      </c>
      <c r="AS68" s="1">
        <f t="shared" si="46"/>
        <v>1.05</v>
      </c>
      <c r="AT68" s="1">
        <f t="shared" si="46"/>
        <v>0.95999999999999974</v>
      </c>
      <c r="AU68" s="7">
        <f t="shared" si="47"/>
        <v>9.0000000000000302E-2</v>
      </c>
      <c r="AV68" s="1">
        <f>ROUND(IF(B68="NSW",N68*Meta!$B$6,N68),1)</f>
        <v>3752</v>
      </c>
      <c r="AW68" s="7">
        <f t="shared" si="29"/>
        <v>66883</v>
      </c>
    </row>
    <row r="69" spans="1:49" x14ac:dyDescent="0.55000000000000004">
      <c r="A69" s="11" t="s">
        <v>81</v>
      </c>
      <c r="B69" s="7" t="s">
        <v>23</v>
      </c>
      <c r="C69" s="10">
        <v>36.24</v>
      </c>
      <c r="D69" s="10">
        <v>49.74</v>
      </c>
      <c r="E69" s="10">
        <v>0</v>
      </c>
      <c r="F69" s="10">
        <v>1.31</v>
      </c>
      <c r="G69" s="10">
        <v>3.43</v>
      </c>
      <c r="H69" s="10">
        <v>5.0199999999999996</v>
      </c>
      <c r="I69" s="10">
        <v>7.69</v>
      </c>
      <c r="J69" s="7">
        <f t="shared" si="30"/>
        <v>5.57</v>
      </c>
      <c r="K69" s="10">
        <v>56.2</v>
      </c>
      <c r="L69" s="7">
        <v>43.8</v>
      </c>
      <c r="M69" s="10">
        <v>82546</v>
      </c>
      <c r="N69" s="10">
        <v>4563</v>
      </c>
      <c r="O69" s="7">
        <f t="shared" si="31"/>
        <v>77983</v>
      </c>
      <c r="P69" s="10">
        <f>ROUND($C69+MIN($D69:$E69)*(1-SUMIFS(PrefFlows!$C:$C,PrefFlows!$A:$A,INDEX($D$1:$E$1,MATCH(MIN($D69:$E69),$D69:$E69,0)),PrefFlows!$B:$B,$B69)),2)</f>
        <v>36.24</v>
      </c>
      <c r="Q69" s="10">
        <f>ROUND(MAX($D69:$E69)+MIN($D69:$E69)*SUMIFS(PrefFlows!$C:$C,PrefFlows!$A:$A,INDEX($D$1:$E$1,MATCH(MIN($D69:$E69),$D69:$E69,0)),PrefFlows!$B:$B,$B69),2)</f>
        <v>49.74</v>
      </c>
      <c r="R69" s="10">
        <f t="shared" si="32"/>
        <v>3.43</v>
      </c>
      <c r="S69" s="10">
        <f t="shared" si="33"/>
        <v>5.0199999999999996</v>
      </c>
      <c r="T69" s="7">
        <f t="shared" si="34"/>
        <v>5.57</v>
      </c>
      <c r="U69" s="9">
        <f t="shared" si="35"/>
        <v>13.5</v>
      </c>
      <c r="V69" s="10">
        <f>ROUND($R69*SUMIFS(PrefFlows!$C:$C,PrefFlows!$A:$A,$R$1,PrefFlows!$B:$B,$B69)+$S69*SUMIFS(PrefFlows!$C:$C,PrefFlows!$A:$A,$S$1,PrefFlows!$B:$B,$B69)+$T69*SUMIFS(PrefFlows!$C:$C,PrefFlows!$A:$A,$T$1,PrefFlows!$B:$B,$B69),2)</f>
        <v>6.14</v>
      </c>
      <c r="W69" s="7">
        <f>ROUND($R69*(1-SUMIFS(PrefFlows!$C:$C,PrefFlows!$A:$A,$R$1,PrefFlows!$B:$B,$B69))+$S69*(1-SUMIFS(PrefFlows!$C:$C,PrefFlows!$A:$A,$S$1,PrefFlows!$B:$B,$B69))+$T69*(1-SUMIFS(PrefFlows!$C:$C,PrefFlows!$A:$A,$T$1,PrefFlows!$B:$B,$B69)),2)</f>
        <v>7.88</v>
      </c>
      <c r="X69" s="10">
        <f t="shared" si="36"/>
        <v>6.46</v>
      </c>
      <c r="Y69" s="7">
        <f t="shared" si="37"/>
        <v>7.56</v>
      </c>
      <c r="Z69" s="10">
        <f t="shared" si="38"/>
        <v>0.43790000000000001</v>
      </c>
      <c r="AA69" s="10">
        <f t="shared" si="39"/>
        <v>0.46079999999999999</v>
      </c>
      <c r="AB69" s="10">
        <f t="shared" si="40"/>
        <v>2.29E-2</v>
      </c>
      <c r="AC69" s="7">
        <v>3.9725001853862199E-2</v>
      </c>
      <c r="AD69" s="10">
        <f>ROUND(R69*(1-(Exhaust!$B$2+AC69)),2)</f>
        <v>1.37</v>
      </c>
      <c r="AE69" s="10">
        <f>ROUND(S69*(1-(Exhaust!$B$3+$AC69)),2)</f>
        <v>2.81</v>
      </c>
      <c r="AF69" s="7">
        <f>ROUND(T69*(1-(Exhaust!$B$4+$AC69)),2)</f>
        <v>2.56</v>
      </c>
      <c r="AG69" s="10">
        <f>ROUND($AD69*(SUMIFS(PrefFlows!$C:$C,PrefFlows!$A:$A,$R$1,PrefFlows!$B:$B,$B69)+$AB69)+$AE69*(SUMIFS(PrefFlows!$C:$C,PrefFlows!$A:$A,$S$1,PrefFlows!$B:$B,$B69)+$AB69)+$AF69*(SUMIFS(PrefFlows!$C:$C,PrefFlows!$A:$A,$T$1,PrefFlows!$B:$B,$B69)+$AB69),2)</f>
        <v>2.98</v>
      </c>
      <c r="AH69" s="7">
        <f>ROUND($AD69*(1-(SUMIFS(PrefFlows!$C:$C,PrefFlows!$A:$A,$R$1,PrefFlows!$B:$B,$B69)+$AB69))+$AE69*(1-(SUMIFS(PrefFlows!$C:$C,PrefFlows!$A:$A,$S$1,PrefFlows!$B:$B,$B69)+$AB69))+$AF69*(1-(SUMIFS(PrefFlows!$C:$C,PrefFlows!$A:$A,$T$1,PrefFlows!$B:$B,$B69)+$AB69)),2)</f>
        <v>3.76</v>
      </c>
      <c r="AI69" s="10">
        <f t="shared" si="41"/>
        <v>52.72</v>
      </c>
      <c r="AJ69" s="7">
        <f t="shared" si="42"/>
        <v>40</v>
      </c>
      <c r="AK69" s="10">
        <f t="shared" si="43"/>
        <v>56.86</v>
      </c>
      <c r="AL69" s="7">
        <f t="shared" si="43"/>
        <v>43.14</v>
      </c>
      <c r="AM69" s="1">
        <f t="shared" si="26"/>
        <v>6.2</v>
      </c>
      <c r="AN69" s="1">
        <f t="shared" si="27"/>
        <v>6.93</v>
      </c>
      <c r="AO69" s="7">
        <f t="shared" si="28"/>
        <v>6.86</v>
      </c>
      <c r="AP69" s="1" t="b">
        <f t="shared" si="44"/>
        <v>0</v>
      </c>
      <c r="AQ69" s="1" t="b">
        <f t="shared" si="44"/>
        <v>0</v>
      </c>
      <c r="AR69" s="7" t="b">
        <f t="shared" si="45"/>
        <v>0</v>
      </c>
      <c r="AS69" s="1">
        <f t="shared" si="46"/>
        <v>0.72999999999999954</v>
      </c>
      <c r="AT69" s="1">
        <f t="shared" si="46"/>
        <v>0.66000000000000014</v>
      </c>
      <c r="AU69" s="7">
        <f t="shared" si="47"/>
        <v>6.9999999999999396E-2</v>
      </c>
      <c r="AV69" s="1">
        <f>ROUND(IF(B69="NSW",N69*Meta!$B$6,N69),1)</f>
        <v>4563</v>
      </c>
      <c r="AW69" s="7">
        <f t="shared" si="29"/>
        <v>73936.899999999994</v>
      </c>
    </row>
    <row r="70" spans="1:49" x14ac:dyDescent="0.55000000000000004">
      <c r="A70" s="11" t="s">
        <v>82</v>
      </c>
      <c r="B70" s="7" t="s">
        <v>10</v>
      </c>
      <c r="C70" s="10">
        <v>30.5</v>
      </c>
      <c r="D70" s="10">
        <v>55.2</v>
      </c>
      <c r="E70" s="10">
        <v>0</v>
      </c>
      <c r="F70" s="10">
        <v>1.82</v>
      </c>
      <c r="G70" s="10">
        <v>0</v>
      </c>
      <c r="H70" s="10">
        <v>11.35</v>
      </c>
      <c r="I70" s="10">
        <v>1.1299999999999999</v>
      </c>
      <c r="J70" s="7">
        <f t="shared" si="30"/>
        <v>2.95</v>
      </c>
      <c r="K70" s="10">
        <v>58.76</v>
      </c>
      <c r="L70" s="7">
        <v>41.24</v>
      </c>
      <c r="M70" s="10">
        <v>81486</v>
      </c>
      <c r="N70" s="10">
        <v>2247</v>
      </c>
      <c r="O70" s="7">
        <f t="shared" si="31"/>
        <v>79239</v>
      </c>
      <c r="P70" s="10">
        <f>ROUND($C70+MIN($D70:$E70)*(1-SUMIFS(PrefFlows!$C:$C,PrefFlows!$A:$A,INDEX($D$1:$E$1,MATCH(MIN($D70:$E70),$D70:$E70,0)),PrefFlows!$B:$B,$B70)),2)</f>
        <v>30.5</v>
      </c>
      <c r="Q70" s="10">
        <f>ROUND(MAX($D70:$E70)+MIN($D70:$E70)*SUMIFS(PrefFlows!$C:$C,PrefFlows!$A:$A,INDEX($D$1:$E$1,MATCH(MIN($D70:$E70),$D70:$E70,0)),PrefFlows!$B:$B,$B70),2)</f>
        <v>55.2</v>
      </c>
      <c r="R70" s="10">
        <f t="shared" si="32"/>
        <v>0</v>
      </c>
      <c r="S70" s="10">
        <f t="shared" si="33"/>
        <v>11.35</v>
      </c>
      <c r="T70" s="7">
        <f t="shared" si="34"/>
        <v>2.95</v>
      </c>
      <c r="U70" s="9">
        <f t="shared" si="35"/>
        <v>24.7</v>
      </c>
      <c r="V70" s="10">
        <f>ROUND($R70*SUMIFS(PrefFlows!$C:$C,PrefFlows!$A:$A,$R$1,PrefFlows!$B:$B,$B70)+$S70*SUMIFS(PrefFlows!$C:$C,PrefFlows!$A:$A,$S$1,PrefFlows!$B:$B,$B70)+$T70*SUMIFS(PrefFlows!$C:$C,PrefFlows!$A:$A,$T$1,PrefFlows!$B:$B,$B70),2)</f>
        <v>3.46</v>
      </c>
      <c r="W70" s="7">
        <f>ROUND($R70*(1-SUMIFS(PrefFlows!$C:$C,PrefFlows!$A:$A,$R$1,PrefFlows!$B:$B,$B70))+$S70*(1-SUMIFS(PrefFlows!$C:$C,PrefFlows!$A:$A,$S$1,PrefFlows!$B:$B,$B70))+$T70*(1-SUMIFS(PrefFlows!$C:$C,PrefFlows!$A:$A,$T$1,PrefFlows!$B:$B,$B70)),2)</f>
        <v>10.84</v>
      </c>
      <c r="X70" s="10">
        <f t="shared" si="36"/>
        <v>3.56</v>
      </c>
      <c r="Y70" s="7">
        <f t="shared" si="37"/>
        <v>10.74</v>
      </c>
      <c r="Z70" s="10">
        <f t="shared" si="38"/>
        <v>0.24199999999999999</v>
      </c>
      <c r="AA70" s="10">
        <f t="shared" si="39"/>
        <v>0.249</v>
      </c>
      <c r="AB70" s="10">
        <f t="shared" si="40"/>
        <v>7.0000000000000001E-3</v>
      </c>
      <c r="AC70" s="7">
        <v>-8.9624725726686894E-2</v>
      </c>
      <c r="AD70" s="10">
        <f>ROUND(R70*(1-(Exhaust!$B$2+AC70)),2)</f>
        <v>0</v>
      </c>
      <c r="AE70" s="10">
        <f>ROUND(S70*(1-(Exhaust!$B$3+$AC70)),2)</f>
        <v>7.83</v>
      </c>
      <c r="AF70" s="7">
        <f>ROUND(T70*(1-(Exhaust!$B$4+$AC70)),2)</f>
        <v>1.74</v>
      </c>
      <c r="AG70" s="10">
        <f>ROUND($AD70*(SUMIFS(PrefFlows!$C:$C,PrefFlows!$A:$A,$R$1,PrefFlows!$B:$B,$B70)+$AB70)+$AE70*(SUMIFS(PrefFlows!$C:$C,PrefFlows!$A:$A,$S$1,PrefFlows!$B:$B,$B70)+$AB70)+$AF70*(SUMIFS(PrefFlows!$C:$C,PrefFlows!$A:$A,$T$1,PrefFlows!$B:$B,$B70)+$AB70),2)</f>
        <v>2.2999999999999998</v>
      </c>
      <c r="AH70" s="7">
        <f>ROUND($AD70*(1-(SUMIFS(PrefFlows!$C:$C,PrefFlows!$A:$A,$R$1,PrefFlows!$B:$B,$B70)+$AB70))+$AE70*(1-(SUMIFS(PrefFlows!$C:$C,PrefFlows!$A:$A,$S$1,PrefFlows!$B:$B,$B70)+$AB70))+$AF70*(1-(SUMIFS(PrefFlows!$C:$C,PrefFlows!$A:$A,$T$1,PrefFlows!$B:$B,$B70)+$AB70)),2)</f>
        <v>7.27</v>
      </c>
      <c r="AI70" s="10">
        <f t="shared" si="41"/>
        <v>57.5</v>
      </c>
      <c r="AJ70" s="7">
        <f t="shared" si="42"/>
        <v>37.770000000000003</v>
      </c>
      <c r="AK70" s="10">
        <f t="shared" si="43"/>
        <v>60.35</v>
      </c>
      <c r="AL70" s="7">
        <f t="shared" si="43"/>
        <v>39.65</v>
      </c>
      <c r="AM70" s="1">
        <f t="shared" si="26"/>
        <v>8.76</v>
      </c>
      <c r="AN70" s="1">
        <f t="shared" si="27"/>
        <v>11.26</v>
      </c>
      <c r="AO70" s="7">
        <f t="shared" si="28"/>
        <v>10.35</v>
      </c>
      <c r="AP70" s="1" t="b">
        <f t="shared" si="44"/>
        <v>0</v>
      </c>
      <c r="AQ70" s="1" t="b">
        <f t="shared" si="44"/>
        <v>0</v>
      </c>
      <c r="AR70" s="7" t="b">
        <f t="shared" si="45"/>
        <v>0</v>
      </c>
      <c r="AS70" s="1">
        <f t="shared" si="46"/>
        <v>2.5</v>
      </c>
      <c r="AT70" s="1">
        <f t="shared" si="46"/>
        <v>1.5899999999999999</v>
      </c>
      <c r="AU70" s="7">
        <f t="shared" si="47"/>
        <v>0.91000000000000014</v>
      </c>
      <c r="AV70" s="1">
        <f>ROUND(IF(B70="NSW",N70*Meta!$B$6,N70),1)</f>
        <v>2247</v>
      </c>
      <c r="AW70" s="7">
        <f t="shared" si="29"/>
        <v>76316.3</v>
      </c>
    </row>
    <row r="71" spans="1:49" x14ac:dyDescent="0.55000000000000004">
      <c r="A71" s="11" t="s">
        <v>83</v>
      </c>
      <c r="B71" s="7" t="s">
        <v>8</v>
      </c>
      <c r="C71" s="10">
        <v>42.33</v>
      </c>
      <c r="D71" s="10">
        <v>45.88</v>
      </c>
      <c r="E71" s="10">
        <v>0</v>
      </c>
      <c r="F71" s="10">
        <v>1.57</v>
      </c>
      <c r="G71" s="10">
        <v>0.56000000000000005</v>
      </c>
      <c r="H71" s="10">
        <v>5.1100000000000003</v>
      </c>
      <c r="I71" s="10">
        <v>5.1100000000000003</v>
      </c>
      <c r="J71" s="7">
        <f t="shared" si="30"/>
        <v>6.12</v>
      </c>
      <c r="K71" s="10">
        <v>49.94</v>
      </c>
      <c r="L71" s="7">
        <v>50.06</v>
      </c>
      <c r="M71" s="10">
        <v>93376</v>
      </c>
      <c r="N71" s="10">
        <v>6470</v>
      </c>
      <c r="O71" s="7">
        <f t="shared" si="31"/>
        <v>86906</v>
      </c>
      <c r="P71" s="10">
        <f>ROUND($C71+MIN($D71:$E71)*(1-SUMIFS(PrefFlows!$C:$C,PrefFlows!$A:$A,INDEX($D$1:$E$1,MATCH(MIN($D71:$E71),$D71:$E71,0)),PrefFlows!$B:$B,$B71)),2)</f>
        <v>42.33</v>
      </c>
      <c r="Q71" s="10">
        <f>ROUND(MAX($D71:$E71)+MIN($D71:$E71)*SUMIFS(PrefFlows!$C:$C,PrefFlows!$A:$A,INDEX($D$1:$E$1,MATCH(MIN($D71:$E71),$D71:$E71,0)),PrefFlows!$B:$B,$B71),2)</f>
        <v>45.88</v>
      </c>
      <c r="R71" s="10">
        <f t="shared" si="32"/>
        <v>0.56000000000000005</v>
      </c>
      <c r="S71" s="10">
        <f t="shared" si="33"/>
        <v>5.1100000000000003</v>
      </c>
      <c r="T71" s="7">
        <f t="shared" si="34"/>
        <v>6.12</v>
      </c>
      <c r="U71" s="9">
        <f t="shared" si="35"/>
        <v>3.55</v>
      </c>
      <c r="V71" s="10">
        <f>ROUND($R71*SUMIFS(PrefFlows!$C:$C,PrefFlows!$A:$A,$R$1,PrefFlows!$B:$B,$B71)+$S71*SUMIFS(PrefFlows!$C:$C,PrefFlows!$A:$A,$S$1,PrefFlows!$B:$B,$B71)+$T71*SUMIFS(PrefFlows!$C:$C,PrefFlows!$A:$A,$T$1,PrefFlows!$B:$B,$B71),2)</f>
        <v>4.51</v>
      </c>
      <c r="W71" s="7">
        <f>ROUND($R71*(1-SUMIFS(PrefFlows!$C:$C,PrefFlows!$A:$A,$R$1,PrefFlows!$B:$B,$B71))+$S71*(1-SUMIFS(PrefFlows!$C:$C,PrefFlows!$A:$A,$S$1,PrefFlows!$B:$B,$B71))+$T71*(1-SUMIFS(PrefFlows!$C:$C,PrefFlows!$A:$A,$T$1,PrefFlows!$B:$B,$B71)),2)</f>
        <v>7.28</v>
      </c>
      <c r="X71" s="10">
        <f t="shared" si="36"/>
        <v>4.0599999999999996</v>
      </c>
      <c r="Y71" s="7">
        <f t="shared" si="37"/>
        <v>7.73</v>
      </c>
      <c r="Z71" s="10">
        <f t="shared" si="38"/>
        <v>0.38250000000000001</v>
      </c>
      <c r="AA71" s="10">
        <f t="shared" si="39"/>
        <v>0.34439999999999998</v>
      </c>
      <c r="AB71" s="10">
        <f t="shared" si="40"/>
        <v>-3.8100000000000002E-2</v>
      </c>
      <c r="AC71" s="7">
        <v>-1.3488549376158E-2</v>
      </c>
      <c r="AD71" s="10">
        <f>ROUND(R71*(1-(Exhaust!$B$2+AC71)),2)</f>
        <v>0.25</v>
      </c>
      <c r="AE71" s="10">
        <f>ROUND(S71*(1-(Exhaust!$B$3+$AC71)),2)</f>
        <v>3.13</v>
      </c>
      <c r="AF71" s="7">
        <f>ROUND(T71*(1-(Exhaust!$B$4+$AC71)),2)</f>
        <v>3.14</v>
      </c>
      <c r="AG71" s="10">
        <f>ROUND($AD71*(SUMIFS(PrefFlows!$C:$C,PrefFlows!$A:$A,$R$1,PrefFlows!$B:$B,$B71)+$AB71)+$AE71*(SUMIFS(PrefFlows!$C:$C,PrefFlows!$A:$A,$S$1,PrefFlows!$B:$B,$B71)+$AB71)+$AF71*(SUMIFS(PrefFlows!$C:$C,PrefFlows!$A:$A,$T$1,PrefFlows!$B:$B,$B71)+$AB71),2)</f>
        <v>2.15</v>
      </c>
      <c r="AH71" s="7">
        <f>ROUND($AD71*(1-(SUMIFS(PrefFlows!$C:$C,PrefFlows!$A:$A,$R$1,PrefFlows!$B:$B,$B71)+$AB71))+$AE71*(1-(SUMIFS(PrefFlows!$C:$C,PrefFlows!$A:$A,$S$1,PrefFlows!$B:$B,$B71)+$AB71))+$AF71*(1-(SUMIFS(PrefFlows!$C:$C,PrefFlows!$A:$A,$T$1,PrefFlows!$B:$B,$B71)+$AB71)),2)</f>
        <v>4.37</v>
      </c>
      <c r="AI71" s="10">
        <f t="shared" si="41"/>
        <v>48.03</v>
      </c>
      <c r="AJ71" s="7">
        <f t="shared" si="42"/>
        <v>46.7</v>
      </c>
      <c r="AK71" s="10">
        <f t="shared" si="43"/>
        <v>50.7</v>
      </c>
      <c r="AL71" s="7">
        <f t="shared" si="43"/>
        <v>49.3</v>
      </c>
      <c r="AM71" s="1">
        <f t="shared" si="26"/>
        <v>-0.06</v>
      </c>
      <c r="AN71" s="1">
        <f t="shared" si="27"/>
        <v>0.87</v>
      </c>
      <c r="AO71" s="7">
        <f t="shared" si="28"/>
        <v>0.7</v>
      </c>
      <c r="AP71" s="1" t="b">
        <f t="shared" si="44"/>
        <v>1</v>
      </c>
      <c r="AQ71" s="1" t="b">
        <f t="shared" si="44"/>
        <v>1</v>
      </c>
      <c r="AR71" s="7" t="b">
        <f t="shared" si="45"/>
        <v>0</v>
      </c>
      <c r="AS71" s="1">
        <f t="shared" si="46"/>
        <v>0.92999999999999994</v>
      </c>
      <c r="AT71" s="1">
        <f t="shared" si="46"/>
        <v>0.76</v>
      </c>
      <c r="AU71" s="7">
        <f t="shared" si="47"/>
        <v>0.17000000000000004</v>
      </c>
      <c r="AV71" s="1">
        <f>ROUND(IF(B71="NSW",N71*Meta!$B$6,N71),1)</f>
        <v>6470</v>
      </c>
      <c r="AW71" s="7">
        <f t="shared" si="29"/>
        <v>84688.9</v>
      </c>
    </row>
    <row r="72" spans="1:49" x14ac:dyDescent="0.55000000000000004">
      <c r="A72" s="11" t="s">
        <v>84</v>
      </c>
      <c r="B72" s="7" t="s">
        <v>23</v>
      </c>
      <c r="C72" s="10">
        <v>39.130000000000003</v>
      </c>
      <c r="D72" s="10">
        <v>0</v>
      </c>
      <c r="E72" s="10">
        <v>47.23</v>
      </c>
      <c r="F72" s="10">
        <v>1.07</v>
      </c>
      <c r="G72" s="10">
        <v>0</v>
      </c>
      <c r="H72" s="10">
        <v>3.33</v>
      </c>
      <c r="I72" s="10">
        <v>9.24</v>
      </c>
      <c r="J72" s="7">
        <f t="shared" si="30"/>
        <v>10.31</v>
      </c>
      <c r="K72" s="10">
        <v>54.81</v>
      </c>
      <c r="L72" s="7">
        <v>45.19</v>
      </c>
      <c r="M72" s="10">
        <v>88802</v>
      </c>
      <c r="N72" s="10">
        <v>4033</v>
      </c>
      <c r="O72" s="7">
        <f t="shared" si="31"/>
        <v>84769</v>
      </c>
      <c r="P72" s="10">
        <f>ROUND($C72+MIN($D72:$E72)*(1-SUMIFS(PrefFlows!$C:$C,PrefFlows!$A:$A,INDEX($D$1:$E$1,MATCH(MIN($D72:$E72),$D72:$E72,0)),PrefFlows!$B:$B,$B72)),2)</f>
        <v>39.130000000000003</v>
      </c>
      <c r="Q72" s="10">
        <f>ROUND(MAX($D72:$E72)+MIN($D72:$E72)*SUMIFS(PrefFlows!$C:$C,PrefFlows!$A:$A,INDEX($D$1:$E$1,MATCH(MIN($D72:$E72),$D72:$E72,0)),PrefFlows!$B:$B,$B72),2)</f>
        <v>47.23</v>
      </c>
      <c r="R72" s="10">
        <f t="shared" si="32"/>
        <v>0</v>
      </c>
      <c r="S72" s="10">
        <f t="shared" si="33"/>
        <v>3.33</v>
      </c>
      <c r="T72" s="7">
        <f t="shared" si="34"/>
        <v>10.31</v>
      </c>
      <c r="U72" s="9">
        <f t="shared" si="35"/>
        <v>8.1</v>
      </c>
      <c r="V72" s="10">
        <f>ROUND($R72*SUMIFS(PrefFlows!$C:$C,PrefFlows!$A:$A,$R$1,PrefFlows!$B:$B,$B72)+$S72*SUMIFS(PrefFlows!$C:$C,PrefFlows!$A:$A,$S$1,PrefFlows!$B:$B,$B72)+$T72*SUMIFS(PrefFlows!$C:$C,PrefFlows!$A:$A,$T$1,PrefFlows!$B:$B,$B72),2)</f>
        <v>6.07</v>
      </c>
      <c r="W72" s="7">
        <f>ROUND($R72*(1-SUMIFS(PrefFlows!$C:$C,PrefFlows!$A:$A,$R$1,PrefFlows!$B:$B,$B72))+$S72*(1-SUMIFS(PrefFlows!$C:$C,PrefFlows!$A:$A,$S$1,PrefFlows!$B:$B,$B72))+$T72*(1-SUMIFS(PrefFlows!$C:$C,PrefFlows!$A:$A,$T$1,PrefFlows!$B:$B,$B72)),2)</f>
        <v>7.57</v>
      </c>
      <c r="X72" s="10">
        <f t="shared" si="36"/>
        <v>7.58</v>
      </c>
      <c r="Y72" s="7">
        <f t="shared" si="37"/>
        <v>6.06</v>
      </c>
      <c r="Z72" s="10">
        <f t="shared" si="38"/>
        <v>0.44500000000000001</v>
      </c>
      <c r="AA72" s="10">
        <f t="shared" si="39"/>
        <v>0.55569999999999997</v>
      </c>
      <c r="AB72" s="10">
        <f t="shared" si="40"/>
        <v>0.11070000000000001</v>
      </c>
      <c r="AC72" s="7">
        <v>6.5113463960916801E-2</v>
      </c>
      <c r="AD72" s="10">
        <f>ROUND(R72*(1-(Exhaust!$B$2+AC72)),2)</f>
        <v>0</v>
      </c>
      <c r="AE72" s="10">
        <f>ROUND(S72*(1-(Exhaust!$B$3+$AC72)),2)</f>
        <v>1.78</v>
      </c>
      <c r="AF72" s="7">
        <f>ROUND(T72*(1-(Exhaust!$B$4+$AC72)),2)</f>
        <v>4.4800000000000004</v>
      </c>
      <c r="AG72" s="10">
        <f>ROUND($AD72*(SUMIFS(PrefFlows!$C:$C,PrefFlows!$A:$A,$R$1,PrefFlows!$B:$B,$B72)+$AB72)+$AE72*(SUMIFS(PrefFlows!$C:$C,PrefFlows!$A:$A,$S$1,PrefFlows!$B:$B,$B72)+$AB72)+$AF72*(SUMIFS(PrefFlows!$C:$C,PrefFlows!$A:$A,$T$1,PrefFlows!$B:$B,$B72)+$AB72),2)</f>
        <v>3.41</v>
      </c>
      <c r="AH72" s="7">
        <f>ROUND($AD72*(1-(SUMIFS(PrefFlows!$C:$C,PrefFlows!$A:$A,$R$1,PrefFlows!$B:$B,$B72)+$AB72))+$AE72*(1-(SUMIFS(PrefFlows!$C:$C,PrefFlows!$A:$A,$S$1,PrefFlows!$B:$B,$B72)+$AB72))+$AF72*(1-(SUMIFS(PrefFlows!$C:$C,PrefFlows!$A:$A,$T$1,PrefFlows!$B:$B,$B72)+$AB72)),2)</f>
        <v>2.85</v>
      </c>
      <c r="AI72" s="10">
        <f t="shared" si="41"/>
        <v>50.64</v>
      </c>
      <c r="AJ72" s="7">
        <f t="shared" si="42"/>
        <v>41.98</v>
      </c>
      <c r="AK72" s="10">
        <f t="shared" si="43"/>
        <v>54.68</v>
      </c>
      <c r="AL72" s="7">
        <f t="shared" si="43"/>
        <v>45.32</v>
      </c>
      <c r="AM72" s="1">
        <f t="shared" si="26"/>
        <v>4.8099999999999996</v>
      </c>
      <c r="AN72" s="1">
        <f t="shared" si="27"/>
        <v>4.76</v>
      </c>
      <c r="AO72" s="7">
        <f t="shared" si="28"/>
        <v>4.68</v>
      </c>
      <c r="AP72" s="1" t="b">
        <f t="shared" si="44"/>
        <v>0</v>
      </c>
      <c r="AQ72" s="1" t="b">
        <f t="shared" si="44"/>
        <v>0</v>
      </c>
      <c r="AR72" s="7" t="b">
        <f t="shared" si="45"/>
        <v>0</v>
      </c>
      <c r="AS72" s="1">
        <f t="shared" si="46"/>
        <v>-4.9999999999999822E-2</v>
      </c>
      <c r="AT72" s="1">
        <f t="shared" si="46"/>
        <v>-0.12999999999999989</v>
      </c>
      <c r="AU72" s="7">
        <f t="shared" si="47"/>
        <v>8.0000000000000071E-2</v>
      </c>
      <c r="AV72" s="1">
        <f>ROUND(IF(B72="NSW",N72*Meta!$B$6,N72),1)</f>
        <v>4033</v>
      </c>
      <c r="AW72" s="7">
        <f t="shared" si="29"/>
        <v>79953.100000000006</v>
      </c>
    </row>
    <row r="73" spans="1:49" x14ac:dyDescent="0.55000000000000004">
      <c r="A73" s="11" t="s">
        <v>85</v>
      </c>
      <c r="B73" s="7" t="s">
        <v>10</v>
      </c>
      <c r="C73" s="10">
        <v>45.67</v>
      </c>
      <c r="D73" s="10">
        <v>42.85</v>
      </c>
      <c r="E73" s="10">
        <v>0</v>
      </c>
      <c r="F73" s="10">
        <v>1.42</v>
      </c>
      <c r="G73" s="10">
        <v>0</v>
      </c>
      <c r="H73" s="10">
        <v>4.46</v>
      </c>
      <c r="I73" s="10">
        <v>5.6</v>
      </c>
      <c r="J73" s="7">
        <f t="shared" si="30"/>
        <v>7.02</v>
      </c>
      <c r="K73" s="10">
        <v>48.49</v>
      </c>
      <c r="L73" s="7">
        <v>51.51</v>
      </c>
      <c r="M73" s="10">
        <v>85323</v>
      </c>
      <c r="N73" s="10">
        <v>3710</v>
      </c>
      <c r="O73" s="7">
        <f t="shared" si="31"/>
        <v>81613</v>
      </c>
      <c r="P73" s="10">
        <f>ROUND($C73+MIN($D73:$E73)*(1-SUMIFS(PrefFlows!$C:$C,PrefFlows!$A:$A,INDEX($D$1:$E$1,MATCH(MIN($D73:$E73),$D73:$E73,0)),PrefFlows!$B:$B,$B73)),2)</f>
        <v>45.67</v>
      </c>
      <c r="Q73" s="10">
        <f>ROUND(MAX($D73:$E73)+MIN($D73:$E73)*SUMIFS(PrefFlows!$C:$C,PrefFlows!$A:$A,INDEX($D$1:$E$1,MATCH(MIN($D73:$E73),$D73:$E73,0)),PrefFlows!$B:$B,$B73),2)</f>
        <v>42.85</v>
      </c>
      <c r="R73" s="10">
        <f t="shared" si="32"/>
        <v>0</v>
      </c>
      <c r="S73" s="10">
        <f t="shared" si="33"/>
        <v>4.46</v>
      </c>
      <c r="T73" s="7">
        <f t="shared" si="34"/>
        <v>7.02</v>
      </c>
      <c r="U73" s="9">
        <f t="shared" si="35"/>
        <v>-2.82</v>
      </c>
      <c r="V73" s="10">
        <f>ROUND($R73*SUMIFS(PrefFlows!$C:$C,PrefFlows!$A:$A,$R$1,PrefFlows!$B:$B,$B73)+$S73*SUMIFS(PrefFlows!$C:$C,PrefFlows!$A:$A,$S$1,PrefFlows!$B:$B,$B73)+$T73*SUMIFS(PrefFlows!$C:$C,PrefFlows!$A:$A,$T$1,PrefFlows!$B:$B,$B73),2)</f>
        <v>4.4400000000000004</v>
      </c>
      <c r="W73" s="7">
        <f>ROUND($R73*(1-SUMIFS(PrefFlows!$C:$C,PrefFlows!$A:$A,$R$1,PrefFlows!$B:$B,$B73))+$S73*(1-SUMIFS(PrefFlows!$C:$C,PrefFlows!$A:$A,$S$1,PrefFlows!$B:$B,$B73))+$T73*(1-SUMIFS(PrefFlows!$C:$C,PrefFlows!$A:$A,$T$1,PrefFlows!$B:$B,$B73)),2)</f>
        <v>7.04</v>
      </c>
      <c r="X73" s="10">
        <f t="shared" si="36"/>
        <v>5.64</v>
      </c>
      <c r="Y73" s="7">
        <f t="shared" si="37"/>
        <v>5.84</v>
      </c>
      <c r="Z73" s="10">
        <f t="shared" si="38"/>
        <v>0.38679999999999998</v>
      </c>
      <c r="AA73" s="10">
        <f t="shared" si="39"/>
        <v>0.49130000000000001</v>
      </c>
      <c r="AB73" s="10">
        <f t="shared" si="40"/>
        <v>0.1045</v>
      </c>
      <c r="AC73" s="7">
        <v>8.7370797973600006E-2</v>
      </c>
      <c r="AD73" s="10">
        <f>ROUND(R73*(1-(Exhaust!$B$2+AC73)),2)</f>
        <v>0</v>
      </c>
      <c r="AE73" s="10">
        <f>ROUND(S73*(1-(Exhaust!$B$3+$AC73)),2)</f>
        <v>2.29</v>
      </c>
      <c r="AF73" s="7">
        <f>ROUND(T73*(1-(Exhaust!$B$4+$AC73)),2)</f>
        <v>2.9</v>
      </c>
      <c r="AG73" s="10">
        <f>ROUND($AD73*(SUMIFS(PrefFlows!$C:$C,PrefFlows!$A:$A,$R$1,PrefFlows!$B:$B,$B73)+$AB73)+$AE73*(SUMIFS(PrefFlows!$C:$C,PrefFlows!$A:$A,$S$1,PrefFlows!$B:$B,$B73)+$AB73)+$AF73*(SUMIFS(PrefFlows!$C:$C,PrefFlows!$A:$A,$T$1,PrefFlows!$B:$B,$B73)+$AB73),2)</f>
        <v>2.4500000000000002</v>
      </c>
      <c r="AH73" s="7">
        <f>ROUND($AD73*(1-(SUMIFS(PrefFlows!$C:$C,PrefFlows!$A:$A,$R$1,PrefFlows!$B:$B,$B73)+$AB73))+$AE73*(1-(SUMIFS(PrefFlows!$C:$C,PrefFlows!$A:$A,$S$1,PrefFlows!$B:$B,$B73)+$AB73))+$AF73*(1-(SUMIFS(PrefFlows!$C:$C,PrefFlows!$A:$A,$T$1,PrefFlows!$B:$B,$B73)+$AB73)),2)</f>
        <v>2.74</v>
      </c>
      <c r="AI73" s="10">
        <f t="shared" si="41"/>
        <v>45.3</v>
      </c>
      <c r="AJ73" s="7">
        <f t="shared" si="42"/>
        <v>48.41</v>
      </c>
      <c r="AK73" s="10">
        <f t="shared" si="43"/>
        <v>48.34</v>
      </c>
      <c r="AL73" s="7">
        <f t="shared" si="43"/>
        <v>51.66</v>
      </c>
      <c r="AM73" s="1">
        <f t="shared" si="26"/>
        <v>-1.51</v>
      </c>
      <c r="AN73" s="1">
        <f t="shared" si="27"/>
        <v>-1.55</v>
      </c>
      <c r="AO73" s="7">
        <f t="shared" si="28"/>
        <v>-1.66</v>
      </c>
      <c r="AP73" s="1" t="b">
        <f t="shared" si="44"/>
        <v>0</v>
      </c>
      <c r="AQ73" s="1" t="b">
        <f t="shared" si="44"/>
        <v>0</v>
      </c>
      <c r="AR73" s="7" t="b">
        <f t="shared" si="45"/>
        <v>0</v>
      </c>
      <c r="AS73" s="1">
        <f t="shared" si="46"/>
        <v>-4.0000000000000036E-2</v>
      </c>
      <c r="AT73" s="1">
        <f t="shared" si="46"/>
        <v>-0.14999999999999991</v>
      </c>
      <c r="AU73" s="7">
        <f t="shared" si="47"/>
        <v>0.10999999999999988</v>
      </c>
      <c r="AV73" s="1">
        <f>ROUND(IF(B73="NSW",N73*Meta!$B$6,N73),1)</f>
        <v>3710</v>
      </c>
      <c r="AW73" s="7">
        <f t="shared" si="29"/>
        <v>77819.8</v>
      </c>
    </row>
    <row r="74" spans="1:49" x14ac:dyDescent="0.55000000000000004">
      <c r="A74" s="11" t="s">
        <v>86</v>
      </c>
      <c r="B74" s="7" t="s">
        <v>10</v>
      </c>
      <c r="C74" s="10">
        <v>51.22</v>
      </c>
      <c r="D74" s="10">
        <v>38.97</v>
      </c>
      <c r="E74" s="10">
        <v>0</v>
      </c>
      <c r="F74" s="10">
        <v>1.23</v>
      </c>
      <c r="G74" s="10">
        <v>0</v>
      </c>
      <c r="H74" s="10">
        <v>5.39</v>
      </c>
      <c r="I74" s="10">
        <v>3.19</v>
      </c>
      <c r="J74" s="7">
        <f t="shared" si="30"/>
        <v>4.42</v>
      </c>
      <c r="K74" s="10">
        <v>42.6</v>
      </c>
      <c r="L74" s="7">
        <v>57.4</v>
      </c>
      <c r="M74" s="10">
        <v>83057</v>
      </c>
      <c r="N74" s="10">
        <v>3525</v>
      </c>
      <c r="O74" s="7">
        <f t="shared" si="31"/>
        <v>79532</v>
      </c>
      <c r="P74" s="10">
        <f>ROUND($C74+MIN($D74:$E74)*(1-SUMIFS(PrefFlows!$C:$C,PrefFlows!$A:$A,INDEX($D$1:$E$1,MATCH(MIN($D74:$E74),$D74:$E74,0)),PrefFlows!$B:$B,$B74)),2)</f>
        <v>51.22</v>
      </c>
      <c r="Q74" s="10">
        <f>ROUND(MAX($D74:$E74)+MIN($D74:$E74)*SUMIFS(PrefFlows!$C:$C,PrefFlows!$A:$A,INDEX($D$1:$E$1,MATCH(MIN($D74:$E74),$D74:$E74,0)),PrefFlows!$B:$B,$B74),2)</f>
        <v>38.97</v>
      </c>
      <c r="R74" s="10">
        <f t="shared" si="32"/>
        <v>0</v>
      </c>
      <c r="S74" s="10">
        <f t="shared" si="33"/>
        <v>5.39</v>
      </c>
      <c r="T74" s="7">
        <f t="shared" si="34"/>
        <v>4.42</v>
      </c>
      <c r="U74" s="9">
        <f t="shared" si="35"/>
        <v>-12.25</v>
      </c>
      <c r="V74" s="10">
        <f>ROUND($R74*SUMIFS(PrefFlows!$C:$C,PrefFlows!$A:$A,$R$1,PrefFlows!$B:$B,$B74)+$S74*SUMIFS(PrefFlows!$C:$C,PrefFlows!$A:$A,$S$1,PrefFlows!$B:$B,$B74)+$T74*SUMIFS(PrefFlows!$C:$C,PrefFlows!$A:$A,$T$1,PrefFlows!$B:$B,$B74),2)</f>
        <v>3.23</v>
      </c>
      <c r="W74" s="7">
        <f>ROUND($R74*(1-SUMIFS(PrefFlows!$C:$C,PrefFlows!$A:$A,$R$1,PrefFlows!$B:$B,$B74))+$S74*(1-SUMIFS(PrefFlows!$C:$C,PrefFlows!$A:$A,$S$1,PrefFlows!$B:$B,$B74))+$T74*(1-SUMIFS(PrefFlows!$C:$C,PrefFlows!$A:$A,$T$1,PrefFlows!$B:$B,$B74)),2)</f>
        <v>6.58</v>
      </c>
      <c r="X74" s="10">
        <f t="shared" si="36"/>
        <v>3.63</v>
      </c>
      <c r="Y74" s="7">
        <f t="shared" si="37"/>
        <v>6.18</v>
      </c>
      <c r="Z74" s="10">
        <f t="shared" si="38"/>
        <v>0.32929999999999998</v>
      </c>
      <c r="AA74" s="10">
        <f t="shared" si="39"/>
        <v>0.37</v>
      </c>
      <c r="AB74" s="10">
        <f t="shared" si="40"/>
        <v>4.07E-2</v>
      </c>
      <c r="AC74" s="7">
        <v>-1.98329221457203E-2</v>
      </c>
      <c r="AD74" s="10">
        <f>ROUND(R74*(1-(Exhaust!$B$2+AC74)),2)</f>
        <v>0</v>
      </c>
      <c r="AE74" s="10">
        <f>ROUND(S74*(1-(Exhaust!$B$3+$AC74)),2)</f>
        <v>3.34</v>
      </c>
      <c r="AF74" s="7">
        <f>ROUND(T74*(1-(Exhaust!$B$4+$AC74)),2)</f>
        <v>2.2999999999999998</v>
      </c>
      <c r="AG74" s="10">
        <f>ROUND($AD74*(SUMIFS(PrefFlows!$C:$C,PrefFlows!$A:$A,$R$1,PrefFlows!$B:$B,$B74)+$AB74)+$AE74*(SUMIFS(PrefFlows!$C:$C,PrefFlows!$A:$A,$S$1,PrefFlows!$B:$B,$B74)+$AB74)+$AF74*(SUMIFS(PrefFlows!$C:$C,PrefFlows!$A:$A,$T$1,PrefFlows!$B:$B,$B74)+$AB74),2)</f>
        <v>2</v>
      </c>
      <c r="AH74" s="7">
        <f>ROUND($AD74*(1-(SUMIFS(PrefFlows!$C:$C,PrefFlows!$A:$A,$R$1,PrefFlows!$B:$B,$B74)+$AB74))+$AE74*(1-(SUMIFS(PrefFlows!$C:$C,PrefFlows!$A:$A,$S$1,PrefFlows!$B:$B,$B74)+$AB74))+$AF74*(1-(SUMIFS(PrefFlows!$C:$C,PrefFlows!$A:$A,$T$1,PrefFlows!$B:$B,$B74)+$AB74)),2)</f>
        <v>3.64</v>
      </c>
      <c r="AI74" s="10">
        <f t="shared" si="41"/>
        <v>40.97</v>
      </c>
      <c r="AJ74" s="7">
        <f t="shared" si="42"/>
        <v>54.86</v>
      </c>
      <c r="AK74" s="10">
        <f t="shared" si="43"/>
        <v>42.75</v>
      </c>
      <c r="AL74" s="7">
        <f t="shared" si="43"/>
        <v>57.25</v>
      </c>
      <c r="AM74" s="1">
        <f t="shared" si="26"/>
        <v>-7.4</v>
      </c>
      <c r="AN74" s="1">
        <f t="shared" si="27"/>
        <v>-7.12</v>
      </c>
      <c r="AO74" s="7">
        <f t="shared" si="28"/>
        <v>-7.25</v>
      </c>
      <c r="AP74" s="1" t="b">
        <f t="shared" si="44"/>
        <v>0</v>
      </c>
      <c r="AQ74" s="1" t="b">
        <f t="shared" si="44"/>
        <v>0</v>
      </c>
      <c r="AR74" s="7" t="b">
        <f t="shared" si="45"/>
        <v>0</v>
      </c>
      <c r="AS74" s="1">
        <f t="shared" si="46"/>
        <v>0.28000000000000025</v>
      </c>
      <c r="AT74" s="1">
        <f t="shared" si="46"/>
        <v>0.15000000000000036</v>
      </c>
      <c r="AU74" s="7">
        <f t="shared" si="47"/>
        <v>0.12999999999999989</v>
      </c>
      <c r="AV74" s="1">
        <f>ROUND(IF(B74="NSW",N74*Meta!$B$6,N74),1)</f>
        <v>3525</v>
      </c>
      <c r="AW74" s="7">
        <f t="shared" si="29"/>
        <v>77517.8</v>
      </c>
    </row>
    <row r="75" spans="1:49" x14ac:dyDescent="0.55000000000000004">
      <c r="A75" s="11" t="s">
        <v>87</v>
      </c>
      <c r="B75" s="7" t="s">
        <v>13</v>
      </c>
      <c r="C75" s="10">
        <v>31.28</v>
      </c>
      <c r="D75" s="10">
        <v>55.28</v>
      </c>
      <c r="E75" s="10">
        <v>0</v>
      </c>
      <c r="F75" s="10">
        <v>1.47</v>
      </c>
      <c r="G75" s="10">
        <v>0</v>
      </c>
      <c r="H75" s="10">
        <v>6.79</v>
      </c>
      <c r="I75" s="10">
        <v>5.18</v>
      </c>
      <c r="J75" s="7">
        <f t="shared" si="30"/>
        <v>6.65</v>
      </c>
      <c r="K75" s="10">
        <v>61.04</v>
      </c>
      <c r="L75" s="7">
        <v>38.96</v>
      </c>
      <c r="M75" s="10">
        <v>83312</v>
      </c>
      <c r="N75" s="10">
        <v>4220</v>
      </c>
      <c r="O75" s="7">
        <f t="shared" si="31"/>
        <v>79092</v>
      </c>
      <c r="P75" s="10">
        <f>ROUND($C75+MIN($D75:$E75)*(1-SUMIFS(PrefFlows!$C:$C,PrefFlows!$A:$A,INDEX($D$1:$E$1,MATCH(MIN($D75:$E75),$D75:$E75,0)),PrefFlows!$B:$B,$B75)),2)</f>
        <v>31.28</v>
      </c>
      <c r="Q75" s="10">
        <f>ROUND(MAX($D75:$E75)+MIN($D75:$E75)*SUMIFS(PrefFlows!$C:$C,PrefFlows!$A:$A,INDEX($D$1:$E$1,MATCH(MIN($D75:$E75),$D75:$E75,0)),PrefFlows!$B:$B,$B75),2)</f>
        <v>55.28</v>
      </c>
      <c r="R75" s="10">
        <f t="shared" si="32"/>
        <v>0</v>
      </c>
      <c r="S75" s="10">
        <f t="shared" si="33"/>
        <v>6.79</v>
      </c>
      <c r="T75" s="7">
        <f t="shared" si="34"/>
        <v>6.65</v>
      </c>
      <c r="U75" s="9">
        <f t="shared" si="35"/>
        <v>24</v>
      </c>
      <c r="V75" s="10">
        <f>ROUND($R75*SUMIFS(PrefFlows!$C:$C,PrefFlows!$A:$A,$R$1,PrefFlows!$B:$B,$B75)+$S75*SUMIFS(PrefFlows!$C:$C,PrefFlows!$A:$A,$S$1,PrefFlows!$B:$B,$B75)+$T75*SUMIFS(PrefFlows!$C:$C,PrefFlows!$A:$A,$T$1,PrefFlows!$B:$B,$B75),2)</f>
        <v>4.6900000000000004</v>
      </c>
      <c r="W75" s="7">
        <f>ROUND($R75*(1-SUMIFS(PrefFlows!$C:$C,PrefFlows!$A:$A,$R$1,PrefFlows!$B:$B,$B75))+$S75*(1-SUMIFS(PrefFlows!$C:$C,PrefFlows!$A:$A,$S$1,PrefFlows!$B:$B,$B75))+$T75*(1-SUMIFS(PrefFlows!$C:$C,PrefFlows!$A:$A,$T$1,PrefFlows!$B:$B,$B75)),2)</f>
        <v>8.75</v>
      </c>
      <c r="X75" s="10">
        <f t="shared" si="36"/>
        <v>5.76</v>
      </c>
      <c r="Y75" s="7">
        <f t="shared" si="37"/>
        <v>7.68</v>
      </c>
      <c r="Z75" s="10">
        <f t="shared" si="38"/>
        <v>0.34899999999999998</v>
      </c>
      <c r="AA75" s="10">
        <f t="shared" si="39"/>
        <v>0.42859999999999998</v>
      </c>
      <c r="AB75" s="10">
        <f t="shared" si="40"/>
        <v>7.9600000000000004E-2</v>
      </c>
      <c r="AC75" s="7">
        <v>3.0547202731888701E-2</v>
      </c>
      <c r="AD75" s="10">
        <f>ROUND(R75*(1-(Exhaust!$B$2+AC75)),2)</f>
        <v>0</v>
      </c>
      <c r="AE75" s="10">
        <f>ROUND(S75*(1-(Exhaust!$B$3+$AC75)),2)</f>
        <v>3.87</v>
      </c>
      <c r="AF75" s="7">
        <f>ROUND(T75*(1-(Exhaust!$B$4+$AC75)),2)</f>
        <v>3.12</v>
      </c>
      <c r="AG75" s="10">
        <f>ROUND($AD75*(SUMIFS(PrefFlows!$C:$C,PrefFlows!$A:$A,$R$1,PrefFlows!$B:$B,$B75)+$AB75)+$AE75*(SUMIFS(PrefFlows!$C:$C,PrefFlows!$A:$A,$S$1,PrefFlows!$B:$B,$B75)+$AB75)+$AF75*(SUMIFS(PrefFlows!$C:$C,PrefFlows!$A:$A,$T$1,PrefFlows!$B:$B,$B75)+$AB75),2)</f>
        <v>2.88</v>
      </c>
      <c r="AH75" s="7">
        <f>ROUND($AD75*(1-(SUMIFS(PrefFlows!$C:$C,PrefFlows!$A:$A,$R$1,PrefFlows!$B:$B,$B75)+$AB75))+$AE75*(1-(SUMIFS(PrefFlows!$C:$C,PrefFlows!$A:$A,$S$1,PrefFlows!$B:$B,$B75)+$AB75))+$AF75*(1-(SUMIFS(PrefFlows!$C:$C,PrefFlows!$A:$A,$T$1,PrefFlows!$B:$B,$B75)+$AB75)),2)</f>
        <v>4.1100000000000003</v>
      </c>
      <c r="AI75" s="10">
        <f t="shared" si="41"/>
        <v>58.16</v>
      </c>
      <c r="AJ75" s="7">
        <f t="shared" si="42"/>
        <v>35.39</v>
      </c>
      <c r="AK75" s="10">
        <f t="shared" si="43"/>
        <v>62.17</v>
      </c>
      <c r="AL75" s="7">
        <f t="shared" si="43"/>
        <v>37.83</v>
      </c>
      <c r="AM75" s="1">
        <f t="shared" si="26"/>
        <v>11.04</v>
      </c>
      <c r="AN75" s="1">
        <f t="shared" si="27"/>
        <v>12.29</v>
      </c>
      <c r="AO75" s="7">
        <f t="shared" si="28"/>
        <v>12.17</v>
      </c>
      <c r="AP75" s="1" t="b">
        <f t="shared" si="44"/>
        <v>0</v>
      </c>
      <c r="AQ75" s="1" t="b">
        <f t="shared" si="44"/>
        <v>0</v>
      </c>
      <c r="AR75" s="7" t="b">
        <f t="shared" si="45"/>
        <v>0</v>
      </c>
      <c r="AS75" s="1">
        <f t="shared" si="46"/>
        <v>1.25</v>
      </c>
      <c r="AT75" s="1">
        <f t="shared" si="46"/>
        <v>1.1300000000000008</v>
      </c>
      <c r="AU75" s="7">
        <f t="shared" si="47"/>
        <v>0.11999999999999922</v>
      </c>
      <c r="AV75" s="1">
        <f>ROUND(IF(B75="NSW",N75*Meta!$B$6,N75),1)</f>
        <v>2827.4</v>
      </c>
      <c r="AW75" s="7">
        <f t="shared" si="29"/>
        <v>76313</v>
      </c>
    </row>
    <row r="76" spans="1:49" x14ac:dyDescent="0.55000000000000004">
      <c r="A76" s="11" t="s">
        <v>88</v>
      </c>
      <c r="B76" s="7" t="s">
        <v>13</v>
      </c>
      <c r="C76" s="10">
        <v>28.24</v>
      </c>
      <c r="D76" s="10">
        <v>57.63</v>
      </c>
      <c r="E76" s="10">
        <v>0</v>
      </c>
      <c r="F76" s="10">
        <v>0.88</v>
      </c>
      <c r="G76" s="10">
        <v>0</v>
      </c>
      <c r="H76" s="10">
        <v>6.5</v>
      </c>
      <c r="I76" s="10">
        <v>6.75</v>
      </c>
      <c r="J76" s="7">
        <f t="shared" si="30"/>
        <v>7.63</v>
      </c>
      <c r="K76" s="10">
        <v>64.13</v>
      </c>
      <c r="L76" s="7">
        <v>35.869999999999997</v>
      </c>
      <c r="M76" s="10">
        <v>85615</v>
      </c>
      <c r="N76" s="10">
        <v>4669</v>
      </c>
      <c r="O76" s="7">
        <f t="shared" si="31"/>
        <v>80946</v>
      </c>
      <c r="P76" s="10">
        <f>ROUND($C76+MIN($D76:$E76)*(1-SUMIFS(PrefFlows!$C:$C,PrefFlows!$A:$A,INDEX($D$1:$E$1,MATCH(MIN($D76:$E76),$D76:$E76,0)),PrefFlows!$B:$B,$B76)),2)</f>
        <v>28.24</v>
      </c>
      <c r="Q76" s="10">
        <f>ROUND(MAX($D76:$E76)+MIN($D76:$E76)*SUMIFS(PrefFlows!$C:$C,PrefFlows!$A:$A,INDEX($D$1:$E$1,MATCH(MIN($D76:$E76),$D76:$E76,0)),PrefFlows!$B:$B,$B76),2)</f>
        <v>57.63</v>
      </c>
      <c r="R76" s="10">
        <f t="shared" si="32"/>
        <v>0</v>
      </c>
      <c r="S76" s="10">
        <f t="shared" si="33"/>
        <v>6.5</v>
      </c>
      <c r="T76" s="7">
        <f t="shared" si="34"/>
        <v>7.63</v>
      </c>
      <c r="U76" s="9">
        <f t="shared" si="35"/>
        <v>29.39</v>
      </c>
      <c r="V76" s="10">
        <f>ROUND($R76*SUMIFS(PrefFlows!$C:$C,PrefFlows!$A:$A,$R$1,PrefFlows!$B:$B,$B76)+$S76*SUMIFS(PrefFlows!$C:$C,PrefFlows!$A:$A,$S$1,PrefFlows!$B:$B,$B76)+$T76*SUMIFS(PrefFlows!$C:$C,PrefFlows!$A:$A,$T$1,PrefFlows!$B:$B,$B76),2)</f>
        <v>5.16</v>
      </c>
      <c r="W76" s="7">
        <f>ROUND($R76*(1-SUMIFS(PrefFlows!$C:$C,PrefFlows!$A:$A,$R$1,PrefFlows!$B:$B,$B76))+$S76*(1-SUMIFS(PrefFlows!$C:$C,PrefFlows!$A:$A,$S$1,PrefFlows!$B:$B,$B76))+$T76*(1-SUMIFS(PrefFlows!$C:$C,PrefFlows!$A:$A,$T$1,PrefFlows!$B:$B,$B76)),2)</f>
        <v>8.9700000000000006</v>
      </c>
      <c r="X76" s="10">
        <f t="shared" si="36"/>
        <v>6.5</v>
      </c>
      <c r="Y76" s="7">
        <f t="shared" si="37"/>
        <v>7.63</v>
      </c>
      <c r="Z76" s="10">
        <f t="shared" si="38"/>
        <v>0.36520000000000002</v>
      </c>
      <c r="AA76" s="10">
        <f t="shared" si="39"/>
        <v>0.46</v>
      </c>
      <c r="AB76" s="10">
        <f t="shared" si="40"/>
        <v>9.4799999999999995E-2</v>
      </c>
      <c r="AC76" s="7">
        <v>1.45839360852946E-2</v>
      </c>
      <c r="AD76" s="10">
        <f>ROUND(R76*(1-(Exhaust!$B$2+AC76)),2)</f>
        <v>0</v>
      </c>
      <c r="AE76" s="10">
        <f>ROUND(S76*(1-(Exhaust!$B$3+$AC76)),2)</f>
        <v>3.81</v>
      </c>
      <c r="AF76" s="7">
        <f>ROUND(T76*(1-(Exhaust!$B$4+$AC76)),2)</f>
        <v>3.7</v>
      </c>
      <c r="AG76" s="10">
        <f>ROUND($AD76*(SUMIFS(PrefFlows!$C:$C,PrefFlows!$A:$A,$R$1,PrefFlows!$B:$B,$B76)+$AB76)+$AE76*(SUMIFS(PrefFlows!$C:$C,PrefFlows!$A:$A,$S$1,PrefFlows!$B:$B,$B76)+$AB76)+$AF76*(SUMIFS(PrefFlows!$C:$C,PrefFlows!$A:$A,$T$1,PrefFlows!$B:$B,$B76)+$AB76),2)</f>
        <v>3.33</v>
      </c>
      <c r="AH76" s="7">
        <f>ROUND($AD76*(1-(SUMIFS(PrefFlows!$C:$C,PrefFlows!$A:$A,$R$1,PrefFlows!$B:$B,$B76)+$AB76))+$AE76*(1-(SUMIFS(PrefFlows!$C:$C,PrefFlows!$A:$A,$S$1,PrefFlows!$B:$B,$B76)+$AB76))+$AF76*(1-(SUMIFS(PrefFlows!$C:$C,PrefFlows!$A:$A,$T$1,PrefFlows!$B:$B,$B76)+$AB76)),2)</f>
        <v>4.18</v>
      </c>
      <c r="AI76" s="10">
        <f t="shared" si="41"/>
        <v>60.96</v>
      </c>
      <c r="AJ76" s="7">
        <f t="shared" si="42"/>
        <v>32.42</v>
      </c>
      <c r="AK76" s="10">
        <f t="shared" si="43"/>
        <v>65.28</v>
      </c>
      <c r="AL76" s="7">
        <f t="shared" si="43"/>
        <v>34.72</v>
      </c>
      <c r="AM76" s="1">
        <f t="shared" si="26"/>
        <v>14.13</v>
      </c>
      <c r="AN76" s="1">
        <f t="shared" si="27"/>
        <v>15.45</v>
      </c>
      <c r="AO76" s="7">
        <f t="shared" si="28"/>
        <v>15.28</v>
      </c>
      <c r="AP76" s="1" t="b">
        <f t="shared" si="44"/>
        <v>0</v>
      </c>
      <c r="AQ76" s="1" t="b">
        <f t="shared" si="44"/>
        <v>0</v>
      </c>
      <c r="AR76" s="7" t="b">
        <f t="shared" si="45"/>
        <v>0</v>
      </c>
      <c r="AS76" s="1">
        <f t="shared" si="46"/>
        <v>1.3199999999999985</v>
      </c>
      <c r="AT76" s="1">
        <f t="shared" si="46"/>
        <v>1.1499999999999986</v>
      </c>
      <c r="AU76" s="7">
        <f t="shared" si="47"/>
        <v>0.16999999999999993</v>
      </c>
      <c r="AV76" s="1">
        <f>ROUND(IF(B76="NSW",N76*Meta!$B$6,N76),1)</f>
        <v>3128.2</v>
      </c>
      <c r="AW76" s="7">
        <f t="shared" si="29"/>
        <v>78152.3</v>
      </c>
    </row>
    <row r="77" spans="1:49" x14ac:dyDescent="0.55000000000000004">
      <c r="A77" s="11" t="s">
        <v>89</v>
      </c>
      <c r="B77" s="7" t="s">
        <v>13</v>
      </c>
      <c r="C77" s="10">
        <v>53.6</v>
      </c>
      <c r="D77" s="10">
        <v>0</v>
      </c>
      <c r="E77" s="10">
        <v>26.81</v>
      </c>
      <c r="F77" s="10">
        <v>0</v>
      </c>
      <c r="G77" s="10">
        <v>3.15</v>
      </c>
      <c r="H77" s="10">
        <v>6.44</v>
      </c>
      <c r="I77" s="10">
        <v>13.15</v>
      </c>
      <c r="J77" s="7">
        <f t="shared" si="30"/>
        <v>10</v>
      </c>
      <c r="K77" s="10">
        <v>36.25</v>
      </c>
      <c r="L77" s="7">
        <v>63.75</v>
      </c>
      <c r="M77" s="10">
        <v>85144</v>
      </c>
      <c r="N77" s="10">
        <v>4512</v>
      </c>
      <c r="O77" s="7">
        <f t="shared" si="31"/>
        <v>80632</v>
      </c>
      <c r="P77" s="10">
        <f>ROUND($C77+MIN($D77:$E77)*(1-SUMIFS(PrefFlows!$C:$C,PrefFlows!$A:$A,INDEX($D$1:$E$1,MATCH(MIN($D77:$E77),$D77:$E77,0)),PrefFlows!$B:$B,$B77)),2)</f>
        <v>53.6</v>
      </c>
      <c r="Q77" s="10">
        <f>ROUND(MAX($D77:$E77)+MIN($D77:$E77)*SUMIFS(PrefFlows!$C:$C,PrefFlows!$A:$A,INDEX($D$1:$E$1,MATCH(MIN($D77:$E77),$D77:$E77,0)),PrefFlows!$B:$B,$B77),2)</f>
        <v>26.81</v>
      </c>
      <c r="R77" s="10">
        <f t="shared" si="32"/>
        <v>3.15</v>
      </c>
      <c r="S77" s="10">
        <f t="shared" si="33"/>
        <v>6.44</v>
      </c>
      <c r="T77" s="7">
        <f t="shared" si="34"/>
        <v>10</v>
      </c>
      <c r="U77" s="9">
        <f t="shared" si="35"/>
        <v>-26.79</v>
      </c>
      <c r="V77" s="10">
        <f>ROUND($R77*SUMIFS(PrefFlows!$C:$C,PrefFlows!$A:$A,$R$1,PrefFlows!$B:$B,$B77)+$S77*SUMIFS(PrefFlows!$C:$C,PrefFlows!$A:$A,$S$1,PrefFlows!$B:$B,$B77)+$T77*SUMIFS(PrefFlows!$C:$C,PrefFlows!$A:$A,$T$1,PrefFlows!$B:$B,$B77),2)</f>
        <v>8.07</v>
      </c>
      <c r="W77" s="7">
        <f>ROUND($R77*(1-SUMIFS(PrefFlows!$C:$C,PrefFlows!$A:$A,$R$1,PrefFlows!$B:$B,$B77))+$S77*(1-SUMIFS(PrefFlows!$C:$C,PrefFlows!$A:$A,$S$1,PrefFlows!$B:$B,$B77))+$T77*(1-SUMIFS(PrefFlows!$C:$C,PrefFlows!$A:$A,$T$1,PrefFlows!$B:$B,$B77)),2)</f>
        <v>11.52</v>
      </c>
      <c r="X77" s="10">
        <f t="shared" si="36"/>
        <v>9.44</v>
      </c>
      <c r="Y77" s="7">
        <f t="shared" si="37"/>
        <v>10.15</v>
      </c>
      <c r="Z77" s="10">
        <f t="shared" si="38"/>
        <v>0.41189999999999999</v>
      </c>
      <c r="AA77" s="10">
        <f t="shared" si="39"/>
        <v>0.4819</v>
      </c>
      <c r="AB77" s="10">
        <f t="shared" si="40"/>
        <v>7.0000000000000007E-2</v>
      </c>
      <c r="AC77" s="7">
        <v>6.34725354908907E-2</v>
      </c>
      <c r="AD77" s="10">
        <f>ROUND(R77*(1-(Exhaust!$B$2+AC77)),2)</f>
        <v>1.19</v>
      </c>
      <c r="AE77" s="10">
        <f>ROUND(S77*(1-(Exhaust!$B$3+$AC77)),2)</f>
        <v>3.46</v>
      </c>
      <c r="AF77" s="7">
        <f>ROUND(T77*(1-(Exhaust!$B$4+$AC77)),2)</f>
        <v>4.37</v>
      </c>
      <c r="AG77" s="10">
        <f>ROUND($AD77*(SUMIFS(PrefFlows!$C:$C,PrefFlows!$A:$A,$R$1,PrefFlows!$B:$B,$B77)+$AB77)+$AE77*(SUMIFS(PrefFlows!$C:$C,PrefFlows!$A:$A,$S$1,PrefFlows!$B:$B,$B77)+$AB77)+$AF77*(SUMIFS(PrefFlows!$C:$C,PrefFlows!$A:$A,$T$1,PrefFlows!$B:$B,$B77)+$AB77),2)</f>
        <v>4.17</v>
      </c>
      <c r="AH77" s="7">
        <f>ROUND($AD77*(1-(SUMIFS(PrefFlows!$C:$C,PrefFlows!$A:$A,$R$1,PrefFlows!$B:$B,$B77)+$AB77))+$AE77*(1-(SUMIFS(PrefFlows!$C:$C,PrefFlows!$A:$A,$S$1,PrefFlows!$B:$B,$B77)+$AB77))+$AF77*(1-(SUMIFS(PrefFlows!$C:$C,PrefFlows!$A:$A,$T$1,PrefFlows!$B:$B,$B77)+$AB77)),2)</f>
        <v>4.8499999999999996</v>
      </c>
      <c r="AI77" s="10">
        <f t="shared" si="41"/>
        <v>30.98</v>
      </c>
      <c r="AJ77" s="7">
        <f t="shared" si="42"/>
        <v>58.45</v>
      </c>
      <c r="AK77" s="10">
        <f t="shared" si="43"/>
        <v>34.64</v>
      </c>
      <c r="AL77" s="7">
        <f t="shared" si="43"/>
        <v>65.36</v>
      </c>
      <c r="AM77" s="1">
        <f t="shared" si="26"/>
        <v>-13.75</v>
      </c>
      <c r="AN77" s="1">
        <f t="shared" si="27"/>
        <v>-14.99</v>
      </c>
      <c r="AO77" s="7">
        <f t="shared" si="28"/>
        <v>-15.36</v>
      </c>
      <c r="AP77" s="1" t="b">
        <f t="shared" si="44"/>
        <v>0</v>
      </c>
      <c r="AQ77" s="1" t="b">
        <f t="shared" si="44"/>
        <v>0</v>
      </c>
      <c r="AR77" s="7" t="b">
        <f t="shared" si="45"/>
        <v>0</v>
      </c>
      <c r="AS77" s="1">
        <f t="shared" si="46"/>
        <v>-1.2400000000000002</v>
      </c>
      <c r="AT77" s="1">
        <f t="shared" si="46"/>
        <v>-1.6099999999999994</v>
      </c>
      <c r="AU77" s="7">
        <f t="shared" si="47"/>
        <v>0.36999999999999922</v>
      </c>
      <c r="AV77" s="1">
        <f>ROUND(IF(B77="NSW",N77*Meta!$B$6,N77),1)</f>
        <v>3023</v>
      </c>
      <c r="AW77" s="7">
        <f t="shared" si="29"/>
        <v>74483</v>
      </c>
    </row>
    <row r="78" spans="1:49" x14ac:dyDescent="0.55000000000000004">
      <c r="A78" s="11" t="s">
        <v>90</v>
      </c>
      <c r="B78" s="7" t="s">
        <v>10</v>
      </c>
      <c r="C78" s="10">
        <v>26.23</v>
      </c>
      <c r="D78" s="10">
        <v>62.63</v>
      </c>
      <c r="E78" s="10">
        <v>0</v>
      </c>
      <c r="F78" s="10">
        <v>0</v>
      </c>
      <c r="G78" s="10">
        <v>0</v>
      </c>
      <c r="H78" s="10">
        <v>6.43</v>
      </c>
      <c r="I78" s="10">
        <v>4.71</v>
      </c>
      <c r="J78" s="7">
        <f t="shared" si="30"/>
        <v>4.71</v>
      </c>
      <c r="K78" s="10">
        <v>66.290000000000006</v>
      </c>
      <c r="L78" s="7">
        <v>33.71</v>
      </c>
      <c r="M78" s="10">
        <v>85218</v>
      </c>
      <c r="N78" s="10">
        <v>2454</v>
      </c>
      <c r="O78" s="7">
        <f t="shared" si="31"/>
        <v>82764</v>
      </c>
      <c r="P78" s="10">
        <f>ROUND($C78+MIN($D78:$E78)*(1-SUMIFS(PrefFlows!$C:$C,PrefFlows!$A:$A,INDEX($D$1:$E$1,MATCH(MIN($D78:$E78),$D78:$E78,0)),PrefFlows!$B:$B,$B78)),2)</f>
        <v>26.23</v>
      </c>
      <c r="Q78" s="10">
        <f>ROUND(MAX($D78:$E78)+MIN($D78:$E78)*SUMIFS(PrefFlows!$C:$C,PrefFlows!$A:$A,INDEX($D$1:$E$1,MATCH(MIN($D78:$E78),$D78:$E78,0)),PrefFlows!$B:$B,$B78),2)</f>
        <v>62.63</v>
      </c>
      <c r="R78" s="10">
        <f t="shared" si="32"/>
        <v>0</v>
      </c>
      <c r="S78" s="10">
        <f t="shared" si="33"/>
        <v>6.43</v>
      </c>
      <c r="T78" s="7">
        <f t="shared" si="34"/>
        <v>4.71</v>
      </c>
      <c r="U78" s="9">
        <f t="shared" si="35"/>
        <v>36.4</v>
      </c>
      <c r="V78" s="10">
        <f>ROUND($R78*SUMIFS(PrefFlows!$C:$C,PrefFlows!$A:$A,$R$1,PrefFlows!$B:$B,$B78)+$S78*SUMIFS(PrefFlows!$C:$C,PrefFlows!$A:$A,$S$1,PrefFlows!$B:$B,$B78)+$T78*SUMIFS(PrefFlows!$C:$C,PrefFlows!$A:$A,$T$1,PrefFlows!$B:$B,$B78),2)</f>
        <v>3.56</v>
      </c>
      <c r="W78" s="7">
        <f>ROUND($R78*(1-SUMIFS(PrefFlows!$C:$C,PrefFlows!$A:$A,$R$1,PrefFlows!$B:$B,$B78))+$S78*(1-SUMIFS(PrefFlows!$C:$C,PrefFlows!$A:$A,$S$1,PrefFlows!$B:$B,$B78))+$T78*(1-SUMIFS(PrefFlows!$C:$C,PrefFlows!$A:$A,$T$1,PrefFlows!$B:$B,$B78)),2)</f>
        <v>7.58</v>
      </c>
      <c r="X78" s="10">
        <f t="shared" si="36"/>
        <v>3.66</v>
      </c>
      <c r="Y78" s="7">
        <f t="shared" si="37"/>
        <v>7.48</v>
      </c>
      <c r="Z78" s="10">
        <f t="shared" si="38"/>
        <v>0.3196</v>
      </c>
      <c r="AA78" s="10">
        <f t="shared" si="39"/>
        <v>0.32850000000000001</v>
      </c>
      <c r="AB78" s="10">
        <f t="shared" si="40"/>
        <v>8.8999999999999999E-3</v>
      </c>
      <c r="AC78" s="7">
        <v>-4.6671483568725899E-2</v>
      </c>
      <c r="AD78" s="10">
        <f>ROUND(R78*(1-(Exhaust!$B$2+AC78)),2)</f>
        <v>0</v>
      </c>
      <c r="AE78" s="10">
        <f>ROUND(S78*(1-(Exhaust!$B$3+$AC78)),2)</f>
        <v>4.16</v>
      </c>
      <c r="AF78" s="7">
        <f>ROUND(T78*(1-(Exhaust!$B$4+$AC78)),2)</f>
        <v>2.57</v>
      </c>
      <c r="AG78" s="10">
        <f>ROUND($AD78*(SUMIFS(PrefFlows!$C:$C,PrefFlows!$A:$A,$R$1,PrefFlows!$B:$B,$B78)+$AB78)+$AE78*(SUMIFS(PrefFlows!$C:$C,PrefFlows!$A:$A,$S$1,PrefFlows!$B:$B,$B78)+$AB78)+$AF78*(SUMIFS(PrefFlows!$C:$C,PrefFlows!$A:$A,$T$1,PrefFlows!$B:$B,$B78)+$AB78),2)</f>
        <v>2.11</v>
      </c>
      <c r="AH78" s="7">
        <f>ROUND($AD78*(1-(SUMIFS(PrefFlows!$C:$C,PrefFlows!$A:$A,$R$1,PrefFlows!$B:$B,$B78)+$AB78))+$AE78*(1-(SUMIFS(PrefFlows!$C:$C,PrefFlows!$A:$A,$S$1,PrefFlows!$B:$B,$B78)+$AB78))+$AF78*(1-(SUMIFS(PrefFlows!$C:$C,PrefFlows!$A:$A,$T$1,PrefFlows!$B:$B,$B78)+$AB78)),2)</f>
        <v>4.62</v>
      </c>
      <c r="AI78" s="10">
        <f t="shared" si="41"/>
        <v>64.739999999999995</v>
      </c>
      <c r="AJ78" s="7">
        <f t="shared" si="42"/>
        <v>30.85</v>
      </c>
      <c r="AK78" s="10">
        <f t="shared" si="43"/>
        <v>67.73</v>
      </c>
      <c r="AL78" s="7">
        <f t="shared" si="43"/>
        <v>32.270000000000003</v>
      </c>
      <c r="AM78" s="1">
        <f t="shared" si="26"/>
        <v>16.29</v>
      </c>
      <c r="AN78" s="1">
        <f t="shared" si="27"/>
        <v>18.18</v>
      </c>
      <c r="AO78" s="7">
        <f t="shared" si="28"/>
        <v>17.73</v>
      </c>
      <c r="AP78" s="1" t="b">
        <f t="shared" si="44"/>
        <v>0</v>
      </c>
      <c r="AQ78" s="1" t="b">
        <f t="shared" si="44"/>
        <v>0</v>
      </c>
      <c r="AR78" s="7" t="b">
        <f t="shared" si="45"/>
        <v>0</v>
      </c>
      <c r="AS78" s="1">
        <f t="shared" si="46"/>
        <v>1.8900000000000006</v>
      </c>
      <c r="AT78" s="1">
        <f t="shared" si="46"/>
        <v>1.4400000000000013</v>
      </c>
      <c r="AU78" s="7">
        <f t="shared" si="47"/>
        <v>0.44999999999999929</v>
      </c>
      <c r="AV78" s="1">
        <f>ROUND(IF(B78="NSW",N78*Meta!$B$6,N78),1)</f>
        <v>2454</v>
      </c>
      <c r="AW78" s="7">
        <f t="shared" si="29"/>
        <v>80018.399999999994</v>
      </c>
    </row>
    <row r="79" spans="1:49" x14ac:dyDescent="0.55000000000000004">
      <c r="A79" s="11" t="s">
        <v>91</v>
      </c>
      <c r="B79" s="7" t="s">
        <v>10</v>
      </c>
      <c r="C79" s="10">
        <v>44.31</v>
      </c>
      <c r="D79" s="10">
        <v>43.29</v>
      </c>
      <c r="E79" s="10">
        <v>0</v>
      </c>
      <c r="F79" s="10">
        <v>1.03</v>
      </c>
      <c r="G79" s="10">
        <v>0.64</v>
      </c>
      <c r="H79" s="10">
        <v>7.31</v>
      </c>
      <c r="I79" s="10">
        <v>4.0599999999999996</v>
      </c>
      <c r="J79" s="7">
        <f t="shared" si="30"/>
        <v>4.45</v>
      </c>
      <c r="K79" s="10">
        <v>48.52</v>
      </c>
      <c r="L79" s="7">
        <v>51.48</v>
      </c>
      <c r="M79" s="10">
        <v>88524</v>
      </c>
      <c r="N79" s="10">
        <v>4464</v>
      </c>
      <c r="O79" s="7">
        <f t="shared" si="31"/>
        <v>84060</v>
      </c>
      <c r="P79" s="10">
        <f>ROUND($C79+MIN($D79:$E79)*(1-SUMIFS(PrefFlows!$C:$C,PrefFlows!$A:$A,INDEX($D$1:$E$1,MATCH(MIN($D79:$E79),$D79:$E79,0)),PrefFlows!$B:$B,$B79)),2)</f>
        <v>44.31</v>
      </c>
      <c r="Q79" s="10">
        <f>ROUND(MAX($D79:$E79)+MIN($D79:$E79)*SUMIFS(PrefFlows!$C:$C,PrefFlows!$A:$A,INDEX($D$1:$E$1,MATCH(MIN($D79:$E79),$D79:$E79,0)),PrefFlows!$B:$B,$B79),2)</f>
        <v>43.29</v>
      </c>
      <c r="R79" s="10">
        <f t="shared" si="32"/>
        <v>0.64</v>
      </c>
      <c r="S79" s="10">
        <f t="shared" si="33"/>
        <v>7.31</v>
      </c>
      <c r="T79" s="7">
        <f t="shared" si="34"/>
        <v>4.45</v>
      </c>
      <c r="U79" s="9">
        <f t="shared" si="35"/>
        <v>-1.02</v>
      </c>
      <c r="V79" s="10">
        <f>ROUND($R79*SUMIFS(PrefFlows!$C:$C,PrefFlows!$A:$A,$R$1,PrefFlows!$B:$B,$B79)+$S79*SUMIFS(PrefFlows!$C:$C,PrefFlows!$A:$A,$S$1,PrefFlows!$B:$B,$B79)+$T79*SUMIFS(PrefFlows!$C:$C,PrefFlows!$A:$A,$T$1,PrefFlows!$B:$B,$B79),2)</f>
        <v>3.94</v>
      </c>
      <c r="W79" s="7">
        <f>ROUND($R79*(1-SUMIFS(PrefFlows!$C:$C,PrefFlows!$A:$A,$R$1,PrefFlows!$B:$B,$B79))+$S79*(1-SUMIFS(PrefFlows!$C:$C,PrefFlows!$A:$A,$S$1,PrefFlows!$B:$B,$B79))+$T79*(1-SUMIFS(PrefFlows!$C:$C,PrefFlows!$A:$A,$T$1,PrefFlows!$B:$B,$B79)),2)</f>
        <v>8.4600000000000009</v>
      </c>
      <c r="X79" s="10">
        <f t="shared" si="36"/>
        <v>5.23</v>
      </c>
      <c r="Y79" s="7">
        <f t="shared" si="37"/>
        <v>7.17</v>
      </c>
      <c r="Z79" s="10">
        <f t="shared" si="38"/>
        <v>0.31769999999999998</v>
      </c>
      <c r="AA79" s="10">
        <f t="shared" si="39"/>
        <v>0.42180000000000001</v>
      </c>
      <c r="AB79" s="10">
        <f t="shared" si="40"/>
        <v>0.1041</v>
      </c>
      <c r="AC79" s="7">
        <v>-8.6843021687332805E-3</v>
      </c>
      <c r="AD79" s="10">
        <f>ROUND(R79*(1-(Exhaust!$B$2+AC79)),2)</f>
        <v>0.28999999999999998</v>
      </c>
      <c r="AE79" s="10">
        <f>ROUND(S79*(1-(Exhaust!$B$3+$AC79)),2)</f>
        <v>4.45</v>
      </c>
      <c r="AF79" s="7">
        <f>ROUND(T79*(1-(Exhaust!$B$4+$AC79)),2)</f>
        <v>2.2599999999999998</v>
      </c>
      <c r="AG79" s="10">
        <f>ROUND($AD79*(SUMIFS(PrefFlows!$C:$C,PrefFlows!$A:$A,$R$1,PrefFlows!$B:$B,$B79)+$AB79)+$AE79*(SUMIFS(PrefFlows!$C:$C,PrefFlows!$A:$A,$S$1,PrefFlows!$B:$B,$B79)+$AB79)+$AF79*(SUMIFS(PrefFlows!$C:$C,PrefFlows!$A:$A,$T$1,PrefFlows!$B:$B,$B79)+$AB79),2)</f>
        <v>2.83</v>
      </c>
      <c r="AH79" s="7">
        <f>ROUND($AD79*(1-(SUMIFS(PrefFlows!$C:$C,PrefFlows!$A:$A,$R$1,PrefFlows!$B:$B,$B79)+$AB79))+$AE79*(1-(SUMIFS(PrefFlows!$C:$C,PrefFlows!$A:$A,$S$1,PrefFlows!$B:$B,$B79)+$AB79))+$AF79*(1-(SUMIFS(PrefFlows!$C:$C,PrefFlows!$A:$A,$T$1,PrefFlows!$B:$B,$B79)+$AB79)),2)</f>
        <v>4.17</v>
      </c>
      <c r="AI79" s="10">
        <f t="shared" si="41"/>
        <v>46.12</v>
      </c>
      <c r="AJ79" s="7">
        <f t="shared" si="42"/>
        <v>48.48</v>
      </c>
      <c r="AK79" s="10">
        <f t="shared" si="43"/>
        <v>48.75</v>
      </c>
      <c r="AL79" s="7">
        <f t="shared" si="43"/>
        <v>51.25</v>
      </c>
      <c r="AM79" s="1">
        <f t="shared" si="26"/>
        <v>-1.48</v>
      </c>
      <c r="AN79" s="1">
        <f t="shared" si="27"/>
        <v>-1.08</v>
      </c>
      <c r="AO79" s="7">
        <f t="shared" si="28"/>
        <v>-1.25</v>
      </c>
      <c r="AP79" s="1" t="b">
        <f t="shared" si="44"/>
        <v>0</v>
      </c>
      <c r="AQ79" s="1" t="b">
        <f t="shared" si="44"/>
        <v>0</v>
      </c>
      <c r="AR79" s="7" t="b">
        <f t="shared" si="45"/>
        <v>0</v>
      </c>
      <c r="AS79" s="1">
        <f t="shared" si="46"/>
        <v>0.39999999999999991</v>
      </c>
      <c r="AT79" s="1">
        <f t="shared" si="46"/>
        <v>0.22999999999999998</v>
      </c>
      <c r="AU79" s="7">
        <f t="shared" si="47"/>
        <v>0.16999999999999993</v>
      </c>
      <c r="AV79" s="1">
        <f>ROUND(IF(B79="NSW",N79*Meta!$B$6,N79),1)</f>
        <v>4464</v>
      </c>
      <c r="AW79" s="7">
        <f t="shared" si="29"/>
        <v>81148.800000000003</v>
      </c>
    </row>
    <row r="80" spans="1:49" x14ac:dyDescent="0.55000000000000004">
      <c r="A80" s="11" t="s">
        <v>92</v>
      </c>
      <c r="B80" s="7" t="s">
        <v>10</v>
      </c>
      <c r="C80" s="10">
        <v>44.78</v>
      </c>
      <c r="D80" s="10">
        <v>42.33</v>
      </c>
      <c r="E80" s="10">
        <v>0</v>
      </c>
      <c r="F80" s="10">
        <v>1.1499999999999999</v>
      </c>
      <c r="G80" s="10">
        <v>0</v>
      </c>
      <c r="H80" s="10">
        <v>8.31</v>
      </c>
      <c r="I80" s="10">
        <v>3.43</v>
      </c>
      <c r="J80" s="7">
        <f t="shared" si="30"/>
        <v>4.58</v>
      </c>
      <c r="K80" s="10">
        <v>45.6</v>
      </c>
      <c r="L80" s="7">
        <v>54.4</v>
      </c>
      <c r="M80" s="10">
        <v>89086</v>
      </c>
      <c r="N80" s="10">
        <v>3549</v>
      </c>
      <c r="O80" s="7">
        <f t="shared" si="31"/>
        <v>85537</v>
      </c>
      <c r="P80" s="10">
        <f>ROUND($C80+MIN($D80:$E80)*(1-SUMIFS(PrefFlows!$C:$C,PrefFlows!$A:$A,INDEX($D$1:$E$1,MATCH(MIN($D80:$E80),$D80:$E80,0)),PrefFlows!$B:$B,$B80)),2)</f>
        <v>44.78</v>
      </c>
      <c r="Q80" s="10">
        <f>ROUND(MAX($D80:$E80)+MIN($D80:$E80)*SUMIFS(PrefFlows!$C:$C,PrefFlows!$A:$A,INDEX($D$1:$E$1,MATCH(MIN($D80:$E80),$D80:$E80,0)),PrefFlows!$B:$B,$B80),2)</f>
        <v>42.33</v>
      </c>
      <c r="R80" s="10">
        <f t="shared" si="32"/>
        <v>0</v>
      </c>
      <c r="S80" s="10">
        <f t="shared" si="33"/>
        <v>8.31</v>
      </c>
      <c r="T80" s="7">
        <f t="shared" si="34"/>
        <v>4.58</v>
      </c>
      <c r="U80" s="9">
        <f t="shared" si="35"/>
        <v>-2.4500000000000002</v>
      </c>
      <c r="V80" s="10">
        <f>ROUND($R80*SUMIFS(PrefFlows!$C:$C,PrefFlows!$A:$A,$R$1,PrefFlows!$B:$B,$B80)+$S80*SUMIFS(PrefFlows!$C:$C,PrefFlows!$A:$A,$S$1,PrefFlows!$B:$B,$B80)+$T80*SUMIFS(PrefFlows!$C:$C,PrefFlows!$A:$A,$T$1,PrefFlows!$B:$B,$B80),2)</f>
        <v>3.81</v>
      </c>
      <c r="W80" s="7">
        <f>ROUND($R80*(1-SUMIFS(PrefFlows!$C:$C,PrefFlows!$A:$A,$R$1,PrefFlows!$B:$B,$B80))+$S80*(1-SUMIFS(PrefFlows!$C:$C,PrefFlows!$A:$A,$S$1,PrefFlows!$B:$B,$B80))+$T80*(1-SUMIFS(PrefFlows!$C:$C,PrefFlows!$A:$A,$T$1,PrefFlows!$B:$B,$B80)),2)</f>
        <v>9.08</v>
      </c>
      <c r="X80" s="10">
        <f t="shared" si="36"/>
        <v>3.27</v>
      </c>
      <c r="Y80" s="7">
        <f t="shared" si="37"/>
        <v>9.6199999999999992</v>
      </c>
      <c r="Z80" s="10">
        <f t="shared" si="38"/>
        <v>0.29559999999999997</v>
      </c>
      <c r="AA80" s="10">
        <f t="shared" si="39"/>
        <v>0.25369999999999998</v>
      </c>
      <c r="AB80" s="10">
        <f t="shared" si="40"/>
        <v>-4.19E-2</v>
      </c>
      <c r="AC80" s="7">
        <v>-0.12931860942248499</v>
      </c>
      <c r="AD80" s="10">
        <f>ROUND(R80*(1-(Exhaust!$B$2+AC80)),2)</f>
        <v>0</v>
      </c>
      <c r="AE80" s="10">
        <f>ROUND(S80*(1-(Exhaust!$B$3+$AC80)),2)</f>
        <v>6.06</v>
      </c>
      <c r="AF80" s="7">
        <f>ROUND(T80*(1-(Exhaust!$B$4+$AC80)),2)</f>
        <v>2.88</v>
      </c>
      <c r="AG80" s="10">
        <f>ROUND($AD80*(SUMIFS(PrefFlows!$C:$C,PrefFlows!$A:$A,$R$1,PrefFlows!$B:$B,$B80)+$AB80)+$AE80*(SUMIFS(PrefFlows!$C:$C,PrefFlows!$A:$A,$S$1,PrefFlows!$B:$B,$B80)+$AB80)+$AF80*(SUMIFS(PrefFlows!$C:$C,PrefFlows!$A:$A,$T$1,PrefFlows!$B:$B,$B80)+$AB80),2)</f>
        <v>2.16</v>
      </c>
      <c r="AH80" s="7">
        <f>ROUND($AD80*(1-(SUMIFS(PrefFlows!$C:$C,PrefFlows!$A:$A,$R$1,PrefFlows!$B:$B,$B80)+$AB80))+$AE80*(1-(SUMIFS(PrefFlows!$C:$C,PrefFlows!$A:$A,$S$1,PrefFlows!$B:$B,$B80)+$AB80))+$AF80*(1-(SUMIFS(PrefFlows!$C:$C,PrefFlows!$A:$A,$T$1,PrefFlows!$B:$B,$B80)+$AB80)),2)</f>
        <v>6.78</v>
      </c>
      <c r="AI80" s="10">
        <f t="shared" si="41"/>
        <v>44.49</v>
      </c>
      <c r="AJ80" s="7">
        <f t="shared" si="42"/>
        <v>51.56</v>
      </c>
      <c r="AK80" s="10">
        <f t="shared" si="43"/>
        <v>46.32</v>
      </c>
      <c r="AL80" s="7">
        <f t="shared" si="43"/>
        <v>53.68</v>
      </c>
      <c r="AM80" s="1">
        <f t="shared" si="26"/>
        <v>-4.4000000000000004</v>
      </c>
      <c r="AN80" s="1">
        <f t="shared" si="27"/>
        <v>-3.07</v>
      </c>
      <c r="AO80" s="7">
        <f t="shared" si="28"/>
        <v>-3.68</v>
      </c>
      <c r="AP80" s="1" t="b">
        <f t="shared" si="44"/>
        <v>0</v>
      </c>
      <c r="AQ80" s="1" t="b">
        <f t="shared" si="44"/>
        <v>0</v>
      </c>
      <c r="AR80" s="7" t="b">
        <f t="shared" si="45"/>
        <v>0</v>
      </c>
      <c r="AS80" s="1">
        <f t="shared" si="46"/>
        <v>1.3300000000000005</v>
      </c>
      <c r="AT80" s="1">
        <f t="shared" si="46"/>
        <v>0.7200000000000002</v>
      </c>
      <c r="AU80" s="7">
        <f t="shared" si="47"/>
        <v>0.61000000000000032</v>
      </c>
      <c r="AV80" s="1">
        <f>ROUND(IF(B80="NSW",N80*Meta!$B$6,N80),1)</f>
        <v>3549</v>
      </c>
      <c r="AW80" s="7">
        <f t="shared" si="29"/>
        <v>83472.399999999994</v>
      </c>
    </row>
    <row r="81" spans="1:49" x14ac:dyDescent="0.55000000000000004">
      <c r="A81" s="11" t="s">
        <v>93</v>
      </c>
      <c r="B81" s="7" t="s">
        <v>31</v>
      </c>
      <c r="C81" s="10">
        <v>31.92</v>
      </c>
      <c r="D81" s="10">
        <v>45.46</v>
      </c>
      <c r="E81" s="10">
        <v>0</v>
      </c>
      <c r="F81" s="10">
        <v>0.77</v>
      </c>
      <c r="G81" s="10">
        <v>2.33</v>
      </c>
      <c r="H81" s="10">
        <v>6.33</v>
      </c>
      <c r="I81" s="10">
        <v>15.52</v>
      </c>
      <c r="J81" s="7">
        <f t="shared" si="30"/>
        <v>13.96</v>
      </c>
      <c r="K81" s="10">
        <v>56.3</v>
      </c>
      <c r="L81" s="7">
        <v>43.7</v>
      </c>
      <c r="M81" s="10">
        <v>68487</v>
      </c>
      <c r="N81" s="10">
        <v>3656</v>
      </c>
      <c r="O81" s="7">
        <f t="shared" si="31"/>
        <v>64831</v>
      </c>
      <c r="P81" s="10">
        <f>ROUND($C81+MIN($D81:$E81)*(1-SUMIFS(PrefFlows!$C:$C,PrefFlows!$A:$A,INDEX($D$1:$E$1,MATCH(MIN($D81:$E81),$D81:$E81,0)),PrefFlows!$B:$B,$B81)),2)</f>
        <v>31.92</v>
      </c>
      <c r="Q81" s="10">
        <f>ROUND(MAX($D81:$E81)+MIN($D81:$E81)*SUMIFS(PrefFlows!$C:$C,PrefFlows!$A:$A,INDEX($D$1:$E$1,MATCH(MIN($D81:$E81),$D81:$E81,0)),PrefFlows!$B:$B,$B81),2)</f>
        <v>45.46</v>
      </c>
      <c r="R81" s="10">
        <f t="shared" si="32"/>
        <v>2.33</v>
      </c>
      <c r="S81" s="10">
        <f t="shared" si="33"/>
        <v>6.33</v>
      </c>
      <c r="T81" s="7">
        <f t="shared" si="34"/>
        <v>13.96</v>
      </c>
      <c r="U81" s="9">
        <f t="shared" si="35"/>
        <v>13.54</v>
      </c>
      <c r="V81" s="10">
        <f>ROUND($R81*SUMIFS(PrefFlows!$C:$C,PrefFlows!$A:$A,$R$1,PrefFlows!$B:$B,$B81)+$S81*SUMIFS(PrefFlows!$C:$C,PrefFlows!$A:$A,$S$1,PrefFlows!$B:$B,$B81)+$T81*SUMIFS(PrefFlows!$C:$C,PrefFlows!$A:$A,$T$1,PrefFlows!$B:$B,$B81),2)</f>
        <v>9.98</v>
      </c>
      <c r="W81" s="7">
        <f>ROUND($R81*(1-SUMIFS(PrefFlows!$C:$C,PrefFlows!$A:$A,$R$1,PrefFlows!$B:$B,$B81))+$S81*(1-SUMIFS(PrefFlows!$C:$C,PrefFlows!$A:$A,$S$1,PrefFlows!$B:$B,$B81))+$T81*(1-SUMIFS(PrefFlows!$C:$C,PrefFlows!$A:$A,$T$1,PrefFlows!$B:$B,$B81)),2)</f>
        <v>12.64</v>
      </c>
      <c r="X81" s="10">
        <f t="shared" si="36"/>
        <v>10.84</v>
      </c>
      <c r="Y81" s="7">
        <f t="shared" si="37"/>
        <v>11.78</v>
      </c>
      <c r="Z81" s="10">
        <f t="shared" si="38"/>
        <v>0.44119999999999998</v>
      </c>
      <c r="AA81" s="10">
        <f t="shared" si="39"/>
        <v>0.47920000000000001</v>
      </c>
      <c r="AB81" s="10">
        <f t="shared" si="40"/>
        <v>3.7999999999999999E-2</v>
      </c>
      <c r="AC81" s="7">
        <v>1.99212196999181E-2</v>
      </c>
      <c r="AD81" s="10">
        <f>ROUND(R81*(1-(Exhaust!$B$2+AC81)),2)</f>
        <v>0.98</v>
      </c>
      <c r="AE81" s="10">
        <f>ROUND(S81*(1-(Exhaust!$B$3+$AC81)),2)</f>
        <v>3.67</v>
      </c>
      <c r="AF81" s="7">
        <f>ROUND(T81*(1-(Exhaust!$B$4+$AC81)),2)</f>
        <v>6.7</v>
      </c>
      <c r="AG81" s="10">
        <f>ROUND($AD81*(SUMIFS(PrefFlows!$C:$C,PrefFlows!$A:$A,$R$1,PrefFlows!$B:$B,$B81)+$AB81)+$AE81*(SUMIFS(PrefFlows!$C:$C,PrefFlows!$A:$A,$S$1,PrefFlows!$B:$B,$B81)+$AB81)+$AF81*(SUMIFS(PrefFlows!$C:$C,PrefFlows!$A:$A,$T$1,PrefFlows!$B:$B,$B81)+$AB81),2)</f>
        <v>5.29</v>
      </c>
      <c r="AH81" s="7">
        <f>ROUND($AD81*(1-(SUMIFS(PrefFlows!$C:$C,PrefFlows!$A:$A,$R$1,PrefFlows!$B:$B,$B81)+$AB81))+$AE81*(1-(SUMIFS(PrefFlows!$C:$C,PrefFlows!$A:$A,$S$1,PrefFlows!$B:$B,$B81)+$AB81))+$AF81*(1-(SUMIFS(PrefFlows!$C:$C,PrefFlows!$A:$A,$T$1,PrefFlows!$B:$B,$B81)+$AB81)),2)</f>
        <v>6.06</v>
      </c>
      <c r="AI81" s="10">
        <f t="shared" si="41"/>
        <v>50.75</v>
      </c>
      <c r="AJ81" s="7">
        <f t="shared" si="42"/>
        <v>37.979999999999997</v>
      </c>
      <c r="AK81" s="10">
        <f t="shared" si="43"/>
        <v>57.2</v>
      </c>
      <c r="AL81" s="7">
        <f t="shared" si="43"/>
        <v>42.8</v>
      </c>
      <c r="AM81" s="1">
        <f t="shared" si="26"/>
        <v>6.3</v>
      </c>
      <c r="AN81" s="1">
        <f t="shared" si="27"/>
        <v>7.32</v>
      </c>
      <c r="AO81" s="7">
        <f t="shared" si="28"/>
        <v>7.2</v>
      </c>
      <c r="AP81" s="1" t="b">
        <f t="shared" si="44"/>
        <v>0</v>
      </c>
      <c r="AQ81" s="1" t="b">
        <f t="shared" si="44"/>
        <v>0</v>
      </c>
      <c r="AR81" s="7" t="b">
        <f t="shared" si="45"/>
        <v>0</v>
      </c>
      <c r="AS81" s="1">
        <f t="shared" si="46"/>
        <v>1.0200000000000005</v>
      </c>
      <c r="AT81" s="1">
        <f t="shared" si="46"/>
        <v>0.90000000000000036</v>
      </c>
      <c r="AU81" s="7">
        <f t="shared" si="47"/>
        <v>0.12000000000000011</v>
      </c>
      <c r="AV81" s="1">
        <f>ROUND(IF(B81="NSW",N81*Meta!$B$6,N81),1)</f>
        <v>3656</v>
      </c>
      <c r="AW81" s="7">
        <f t="shared" si="29"/>
        <v>58775.1</v>
      </c>
    </row>
    <row r="82" spans="1:49" x14ac:dyDescent="0.55000000000000004">
      <c r="A82" s="11" t="s">
        <v>94</v>
      </c>
      <c r="B82" s="7" t="s">
        <v>23</v>
      </c>
      <c r="C82" s="10">
        <v>23.69</v>
      </c>
      <c r="D82" s="10">
        <v>0</v>
      </c>
      <c r="E82" s="10">
        <v>23.83</v>
      </c>
      <c r="F82" s="10">
        <v>0.71</v>
      </c>
      <c r="G82" s="10">
        <v>4.54</v>
      </c>
      <c r="H82" s="10">
        <v>3.53</v>
      </c>
      <c r="I82" s="10">
        <v>48.24</v>
      </c>
      <c r="J82" s="7">
        <f t="shared" si="30"/>
        <v>44.41</v>
      </c>
      <c r="K82" s="10">
        <v>58.95</v>
      </c>
      <c r="L82" s="7">
        <v>41.05</v>
      </c>
      <c r="M82" s="10">
        <v>85239</v>
      </c>
      <c r="N82" s="10">
        <v>3782</v>
      </c>
      <c r="O82" s="7">
        <f t="shared" si="31"/>
        <v>81457</v>
      </c>
      <c r="P82" s="10">
        <f>ROUND($C82+MIN($D82:$E82)*(1-SUMIFS(PrefFlows!$C:$C,PrefFlows!$A:$A,INDEX($D$1:$E$1,MATCH(MIN($D82:$E82),$D82:$E82,0)),PrefFlows!$B:$B,$B82)),2)</f>
        <v>23.69</v>
      </c>
      <c r="Q82" s="10">
        <f>ROUND(MAX($D82:$E82)+MIN($D82:$E82)*SUMIFS(PrefFlows!$C:$C,PrefFlows!$A:$A,INDEX($D$1:$E$1,MATCH(MIN($D82:$E82),$D82:$E82,0)),PrefFlows!$B:$B,$B82),2)</f>
        <v>23.83</v>
      </c>
      <c r="R82" s="10">
        <f t="shared" si="32"/>
        <v>4.54</v>
      </c>
      <c r="S82" s="10">
        <f t="shared" si="33"/>
        <v>3.53</v>
      </c>
      <c r="T82" s="7">
        <f t="shared" si="34"/>
        <v>44.41</v>
      </c>
      <c r="U82" s="9">
        <f t="shared" si="35"/>
        <v>0.14000000000000001</v>
      </c>
      <c r="V82" s="10">
        <f>ROUND($R82*SUMIFS(PrefFlows!$C:$C,PrefFlows!$A:$A,$R$1,PrefFlows!$B:$B,$B82)+$S82*SUMIFS(PrefFlows!$C:$C,PrefFlows!$A:$A,$S$1,PrefFlows!$B:$B,$B82)+$T82*SUMIFS(PrefFlows!$C:$C,PrefFlows!$A:$A,$T$1,PrefFlows!$B:$B,$B82),2)</f>
        <v>26.14</v>
      </c>
      <c r="W82" s="7">
        <f>ROUND($R82*(1-SUMIFS(PrefFlows!$C:$C,PrefFlows!$A:$A,$R$1,PrefFlows!$B:$B,$B82))+$S82*(1-SUMIFS(PrefFlows!$C:$C,PrefFlows!$A:$A,$S$1,PrefFlows!$B:$B,$B82))+$T82*(1-SUMIFS(PrefFlows!$C:$C,PrefFlows!$A:$A,$T$1,PrefFlows!$B:$B,$B82)),2)</f>
        <v>26.34</v>
      </c>
      <c r="X82" s="10">
        <f t="shared" si="36"/>
        <v>35.119999999999997</v>
      </c>
      <c r="Y82" s="7">
        <f t="shared" si="37"/>
        <v>17.36</v>
      </c>
      <c r="Z82" s="10">
        <f t="shared" si="38"/>
        <v>0.49809999999999999</v>
      </c>
      <c r="AA82" s="10">
        <f t="shared" si="39"/>
        <v>0.66920000000000002</v>
      </c>
      <c r="AB82" s="10">
        <f t="shared" si="40"/>
        <v>0.1711</v>
      </c>
      <c r="AC82" s="7">
        <v>6.1064830877783902E-2</v>
      </c>
      <c r="AD82" s="10">
        <f>ROUND(R82*(1-(Exhaust!$B$2+AC82)),2)</f>
        <v>1.72</v>
      </c>
      <c r="AE82" s="10">
        <f>ROUND(S82*(1-(Exhaust!$B$3+$AC82)),2)</f>
        <v>1.9</v>
      </c>
      <c r="AF82" s="7">
        <f>ROUND(T82*(1-(Exhaust!$B$4+$AC82)),2)</f>
        <v>19.489999999999998</v>
      </c>
      <c r="AG82" s="10">
        <f>ROUND($AD82*(SUMIFS(PrefFlows!$C:$C,PrefFlows!$A:$A,$R$1,PrefFlows!$B:$B,$B82)+$AB82)+$AE82*(SUMIFS(PrefFlows!$C:$C,PrefFlows!$A:$A,$S$1,PrefFlows!$B:$B,$B82)+$AB82)+$AF82*(SUMIFS(PrefFlows!$C:$C,PrefFlows!$A:$A,$T$1,PrefFlows!$B:$B,$B82)+$AB82),2)</f>
        <v>15.35</v>
      </c>
      <c r="AH82" s="7">
        <f>ROUND($AD82*(1-(SUMIFS(PrefFlows!$C:$C,PrefFlows!$A:$A,$R$1,PrefFlows!$B:$B,$B82)+$AB82))+$AE82*(1-(SUMIFS(PrefFlows!$C:$C,PrefFlows!$A:$A,$S$1,PrefFlows!$B:$B,$B82)+$AB82))+$AF82*(1-(SUMIFS(PrefFlows!$C:$C,PrefFlows!$A:$A,$T$1,PrefFlows!$B:$B,$B82)+$AB82)),2)</f>
        <v>7.76</v>
      </c>
      <c r="AI82" s="10">
        <f t="shared" si="41"/>
        <v>39.18</v>
      </c>
      <c r="AJ82" s="7">
        <f t="shared" si="42"/>
        <v>31.45</v>
      </c>
      <c r="AK82" s="10">
        <f t="shared" si="43"/>
        <v>55.47</v>
      </c>
      <c r="AL82" s="7">
        <f t="shared" si="43"/>
        <v>44.53</v>
      </c>
      <c r="AM82" s="1">
        <f t="shared" si="26"/>
        <v>8.9499999999999993</v>
      </c>
      <c r="AN82" s="1">
        <f t="shared" si="27"/>
        <v>6.27</v>
      </c>
      <c r="AO82" s="7">
        <f t="shared" si="28"/>
        <v>5.47</v>
      </c>
      <c r="AP82" s="1" t="b">
        <f t="shared" si="44"/>
        <v>0</v>
      </c>
      <c r="AQ82" s="1" t="b">
        <f t="shared" si="44"/>
        <v>0</v>
      </c>
      <c r="AR82" s="7" t="b">
        <f t="shared" si="45"/>
        <v>0</v>
      </c>
      <c r="AS82" s="1">
        <f t="shared" si="46"/>
        <v>-2.6799999999999997</v>
      </c>
      <c r="AT82" s="1">
        <f t="shared" si="46"/>
        <v>-3.4799999999999995</v>
      </c>
      <c r="AU82" s="7">
        <f t="shared" si="47"/>
        <v>0.79999999999999982</v>
      </c>
      <c r="AV82" s="1">
        <f>ROUND(IF(B82="NSW",N82*Meta!$B$6,N82),1)</f>
        <v>3782</v>
      </c>
      <c r="AW82" s="7">
        <f t="shared" si="29"/>
        <v>58562.9</v>
      </c>
    </row>
    <row r="83" spans="1:49" x14ac:dyDescent="0.55000000000000004">
      <c r="A83" s="11" t="s">
        <v>95</v>
      </c>
      <c r="B83" s="7" t="s">
        <v>13</v>
      </c>
      <c r="C83" s="10">
        <v>49.6</v>
      </c>
      <c r="D83" s="10">
        <v>36.14</v>
      </c>
      <c r="E83" s="10">
        <v>0</v>
      </c>
      <c r="F83" s="10">
        <v>1.01</v>
      </c>
      <c r="G83" s="10">
        <v>1.06</v>
      </c>
      <c r="H83" s="10">
        <v>7.37</v>
      </c>
      <c r="I83" s="10">
        <v>5.88</v>
      </c>
      <c r="J83" s="7">
        <f t="shared" si="30"/>
        <v>5.83</v>
      </c>
      <c r="K83" s="10">
        <v>40.99</v>
      </c>
      <c r="L83" s="7">
        <v>59.01</v>
      </c>
      <c r="M83" s="10">
        <v>80505</v>
      </c>
      <c r="N83" s="10">
        <v>6790</v>
      </c>
      <c r="O83" s="7">
        <f t="shared" si="31"/>
        <v>73715</v>
      </c>
      <c r="P83" s="10">
        <f>ROUND($C83+MIN($D83:$E83)*(1-SUMIFS(PrefFlows!$C:$C,PrefFlows!$A:$A,INDEX($D$1:$E$1,MATCH(MIN($D83:$E83),$D83:$E83,0)),PrefFlows!$B:$B,$B83)),2)</f>
        <v>49.6</v>
      </c>
      <c r="Q83" s="10">
        <f>ROUND(MAX($D83:$E83)+MIN($D83:$E83)*SUMIFS(PrefFlows!$C:$C,PrefFlows!$A:$A,INDEX($D$1:$E$1,MATCH(MIN($D83:$E83),$D83:$E83,0)),PrefFlows!$B:$B,$B83),2)</f>
        <v>36.14</v>
      </c>
      <c r="R83" s="10">
        <f t="shared" si="32"/>
        <v>1.06</v>
      </c>
      <c r="S83" s="10">
        <f t="shared" si="33"/>
        <v>7.37</v>
      </c>
      <c r="T83" s="7">
        <f t="shared" si="34"/>
        <v>5.83</v>
      </c>
      <c r="U83" s="9">
        <f t="shared" si="35"/>
        <v>-13.46</v>
      </c>
      <c r="V83" s="10">
        <f>ROUND($R83*SUMIFS(PrefFlows!$C:$C,PrefFlows!$A:$A,$R$1,PrefFlows!$B:$B,$B83)+$S83*SUMIFS(PrefFlows!$C:$C,PrefFlows!$A:$A,$S$1,PrefFlows!$B:$B,$B83)+$T83*SUMIFS(PrefFlows!$C:$C,PrefFlows!$A:$A,$T$1,PrefFlows!$B:$B,$B83),2)</f>
        <v>4.93</v>
      </c>
      <c r="W83" s="7">
        <f>ROUND($R83*(1-SUMIFS(PrefFlows!$C:$C,PrefFlows!$A:$A,$R$1,PrefFlows!$B:$B,$B83))+$S83*(1-SUMIFS(PrefFlows!$C:$C,PrefFlows!$A:$A,$S$1,PrefFlows!$B:$B,$B83))+$T83*(1-SUMIFS(PrefFlows!$C:$C,PrefFlows!$A:$A,$T$1,PrefFlows!$B:$B,$B83)),2)</f>
        <v>9.33</v>
      </c>
      <c r="X83" s="10">
        <f t="shared" si="36"/>
        <v>4.8499999999999996</v>
      </c>
      <c r="Y83" s="7">
        <f t="shared" si="37"/>
        <v>9.41</v>
      </c>
      <c r="Z83" s="10">
        <f t="shared" si="38"/>
        <v>0.34570000000000001</v>
      </c>
      <c r="AA83" s="10">
        <f t="shared" si="39"/>
        <v>0.34010000000000001</v>
      </c>
      <c r="AB83" s="10">
        <f t="shared" si="40"/>
        <v>-5.5999999999999999E-3</v>
      </c>
      <c r="AC83" s="7">
        <v>2.7965543947156099E-2</v>
      </c>
      <c r="AD83" s="10">
        <f>ROUND(R83*(1-(Exhaust!$B$2+AC83)),2)</f>
        <v>0.44</v>
      </c>
      <c r="AE83" s="10">
        <f>ROUND(S83*(1-(Exhaust!$B$3+$AC83)),2)</f>
        <v>4.22</v>
      </c>
      <c r="AF83" s="7">
        <f>ROUND(T83*(1-(Exhaust!$B$4+$AC83)),2)</f>
        <v>2.75</v>
      </c>
      <c r="AG83" s="10">
        <f>ROUND($AD83*(SUMIFS(PrefFlows!$C:$C,PrefFlows!$A:$A,$R$1,PrefFlows!$B:$B,$B83)+$AB83)+$AE83*(SUMIFS(PrefFlows!$C:$C,PrefFlows!$A:$A,$S$1,PrefFlows!$B:$B,$B83)+$AB83)+$AF83*(SUMIFS(PrefFlows!$C:$C,PrefFlows!$A:$A,$T$1,PrefFlows!$B:$B,$B83)+$AB83),2)</f>
        <v>2.38</v>
      </c>
      <c r="AH83" s="7">
        <f>ROUND($AD83*(1-(SUMIFS(PrefFlows!$C:$C,PrefFlows!$A:$A,$R$1,PrefFlows!$B:$B,$B83)+$AB83))+$AE83*(1-(SUMIFS(PrefFlows!$C:$C,PrefFlows!$A:$A,$S$1,PrefFlows!$B:$B,$B83)+$AB83))+$AF83*(1-(SUMIFS(PrefFlows!$C:$C,PrefFlows!$A:$A,$T$1,PrefFlows!$B:$B,$B83)+$AB83)),2)</f>
        <v>5.03</v>
      </c>
      <c r="AI83" s="10">
        <f t="shared" si="41"/>
        <v>38.520000000000003</v>
      </c>
      <c r="AJ83" s="7">
        <f t="shared" si="42"/>
        <v>54.63</v>
      </c>
      <c r="AK83" s="10">
        <f t="shared" si="43"/>
        <v>41.35</v>
      </c>
      <c r="AL83" s="7">
        <f t="shared" si="43"/>
        <v>58.65</v>
      </c>
      <c r="AM83" s="1">
        <f t="shared" si="26"/>
        <v>-9.01</v>
      </c>
      <c r="AN83" s="1">
        <f t="shared" si="27"/>
        <v>-8.5</v>
      </c>
      <c r="AO83" s="7">
        <f t="shared" si="28"/>
        <v>-8.65</v>
      </c>
      <c r="AP83" s="1" t="b">
        <f t="shared" si="44"/>
        <v>0</v>
      </c>
      <c r="AQ83" s="1" t="b">
        <f t="shared" si="44"/>
        <v>0</v>
      </c>
      <c r="AR83" s="7" t="b">
        <f t="shared" si="45"/>
        <v>0</v>
      </c>
      <c r="AS83" s="1">
        <f t="shared" si="46"/>
        <v>0.50999999999999979</v>
      </c>
      <c r="AT83" s="1">
        <f t="shared" si="46"/>
        <v>0.35999999999999943</v>
      </c>
      <c r="AU83" s="7">
        <f t="shared" si="47"/>
        <v>0.15000000000000036</v>
      </c>
      <c r="AV83" s="1">
        <f>ROUND(IF(B83="NSW",N83*Meta!$B$6,N83),1)</f>
        <v>4549.3</v>
      </c>
      <c r="AW83" s="7">
        <f t="shared" si="29"/>
        <v>72386.399999999994</v>
      </c>
    </row>
    <row r="84" spans="1:49" x14ac:dyDescent="0.55000000000000004">
      <c r="A84" s="11" t="s">
        <v>96</v>
      </c>
      <c r="B84" s="7" t="s">
        <v>8</v>
      </c>
      <c r="C84" s="10">
        <v>42.29</v>
      </c>
      <c r="D84" s="10">
        <v>43.59</v>
      </c>
      <c r="E84" s="10">
        <v>0</v>
      </c>
      <c r="F84" s="10">
        <v>2.16</v>
      </c>
      <c r="G84" s="10">
        <v>1.03</v>
      </c>
      <c r="H84" s="10">
        <v>5.3</v>
      </c>
      <c r="I84" s="10">
        <v>6.66</v>
      </c>
      <c r="J84" s="7">
        <f t="shared" si="30"/>
        <v>7.79</v>
      </c>
      <c r="K84" s="10">
        <v>50.07</v>
      </c>
      <c r="L84" s="7">
        <v>49.93</v>
      </c>
      <c r="M84" s="10">
        <v>89713</v>
      </c>
      <c r="N84" s="10">
        <v>5178</v>
      </c>
      <c r="O84" s="7">
        <f t="shared" si="31"/>
        <v>84535</v>
      </c>
      <c r="P84" s="10">
        <f>ROUND($C84+MIN($D84:$E84)*(1-SUMIFS(PrefFlows!$C:$C,PrefFlows!$A:$A,INDEX($D$1:$E$1,MATCH(MIN($D84:$E84),$D84:$E84,0)),PrefFlows!$B:$B,$B84)),2)</f>
        <v>42.29</v>
      </c>
      <c r="Q84" s="10">
        <f>ROUND(MAX($D84:$E84)+MIN($D84:$E84)*SUMIFS(PrefFlows!$C:$C,PrefFlows!$A:$A,INDEX($D$1:$E$1,MATCH(MIN($D84:$E84),$D84:$E84,0)),PrefFlows!$B:$B,$B84),2)</f>
        <v>43.59</v>
      </c>
      <c r="R84" s="10">
        <f t="shared" si="32"/>
        <v>1.03</v>
      </c>
      <c r="S84" s="10">
        <f t="shared" si="33"/>
        <v>5.3</v>
      </c>
      <c r="T84" s="7">
        <f t="shared" si="34"/>
        <v>7.79</v>
      </c>
      <c r="U84" s="9">
        <f t="shared" si="35"/>
        <v>1.3</v>
      </c>
      <c r="V84" s="10">
        <f>ROUND($R84*SUMIFS(PrefFlows!$C:$C,PrefFlows!$A:$A,$R$1,PrefFlows!$B:$B,$B84)+$S84*SUMIFS(PrefFlows!$C:$C,PrefFlows!$A:$A,$S$1,PrefFlows!$B:$B,$B84)+$T84*SUMIFS(PrefFlows!$C:$C,PrefFlows!$A:$A,$T$1,PrefFlows!$B:$B,$B84),2)</f>
        <v>5.66</v>
      </c>
      <c r="W84" s="7">
        <f>ROUND($R84*(1-SUMIFS(PrefFlows!$C:$C,PrefFlows!$A:$A,$R$1,PrefFlows!$B:$B,$B84))+$S84*(1-SUMIFS(PrefFlows!$C:$C,PrefFlows!$A:$A,$S$1,PrefFlows!$B:$B,$B84))+$T84*(1-SUMIFS(PrefFlows!$C:$C,PrefFlows!$A:$A,$T$1,PrefFlows!$B:$B,$B84)),2)</f>
        <v>8.4600000000000009</v>
      </c>
      <c r="X84" s="10">
        <f t="shared" si="36"/>
        <v>6.48</v>
      </c>
      <c r="Y84" s="7">
        <f t="shared" si="37"/>
        <v>7.64</v>
      </c>
      <c r="Z84" s="10">
        <f t="shared" si="38"/>
        <v>0.40079999999999999</v>
      </c>
      <c r="AA84" s="10">
        <f t="shared" si="39"/>
        <v>0.45889999999999997</v>
      </c>
      <c r="AB84" s="10">
        <f t="shared" si="40"/>
        <v>5.8099999999999999E-2</v>
      </c>
      <c r="AC84" s="7">
        <v>6.4570666418545003E-2</v>
      </c>
      <c r="AD84" s="10">
        <f>ROUND(R84*(1-(Exhaust!$B$2+AC84)),2)</f>
        <v>0.39</v>
      </c>
      <c r="AE84" s="10">
        <f>ROUND(S84*(1-(Exhaust!$B$3+$AC84)),2)</f>
        <v>2.84</v>
      </c>
      <c r="AF84" s="7">
        <f>ROUND(T84*(1-(Exhaust!$B$4+$AC84)),2)</f>
        <v>3.39</v>
      </c>
      <c r="AG84" s="10">
        <f>ROUND($AD84*(SUMIFS(PrefFlows!$C:$C,PrefFlows!$A:$A,$R$1,PrefFlows!$B:$B,$B84)+$AB84)+$AE84*(SUMIFS(PrefFlows!$C:$C,PrefFlows!$A:$A,$S$1,PrefFlows!$B:$B,$B84)+$AB84)+$AF84*(SUMIFS(PrefFlows!$C:$C,PrefFlows!$A:$A,$T$1,PrefFlows!$B:$B,$B84)+$AB84),2)</f>
        <v>2.93</v>
      </c>
      <c r="AH84" s="7">
        <f>ROUND($AD84*(1-(SUMIFS(PrefFlows!$C:$C,PrefFlows!$A:$A,$R$1,PrefFlows!$B:$B,$B84)+$AB84))+$AE84*(1-(SUMIFS(PrefFlows!$C:$C,PrefFlows!$A:$A,$S$1,PrefFlows!$B:$B,$B84)+$AB84))+$AF84*(1-(SUMIFS(PrefFlows!$C:$C,PrefFlows!$A:$A,$T$1,PrefFlows!$B:$B,$B84)+$AB84)),2)</f>
        <v>3.69</v>
      </c>
      <c r="AI84" s="10">
        <f t="shared" si="41"/>
        <v>46.52</v>
      </c>
      <c r="AJ84" s="7">
        <f t="shared" si="42"/>
        <v>45.98</v>
      </c>
      <c r="AK84" s="10">
        <f t="shared" si="43"/>
        <v>50.29</v>
      </c>
      <c r="AL84" s="7">
        <f t="shared" si="43"/>
        <v>49.71</v>
      </c>
      <c r="AM84" s="1">
        <f t="shared" si="26"/>
        <v>7.0000000000000007E-2</v>
      </c>
      <c r="AN84" s="1">
        <f t="shared" si="27"/>
        <v>0.37</v>
      </c>
      <c r="AO84" s="7">
        <f t="shared" si="28"/>
        <v>0.28999999999999998</v>
      </c>
      <c r="AP84" s="1" t="b">
        <f t="shared" si="44"/>
        <v>0</v>
      </c>
      <c r="AQ84" s="1" t="b">
        <f t="shared" si="44"/>
        <v>0</v>
      </c>
      <c r="AR84" s="7" t="b">
        <f t="shared" si="45"/>
        <v>0</v>
      </c>
      <c r="AS84" s="1">
        <f t="shared" si="46"/>
        <v>0.3</v>
      </c>
      <c r="AT84" s="1">
        <f t="shared" si="46"/>
        <v>0.21999999999999997</v>
      </c>
      <c r="AU84" s="7">
        <f t="shared" si="47"/>
        <v>8.0000000000000016E-2</v>
      </c>
      <c r="AV84" s="1">
        <f>ROUND(IF(B84="NSW",N84*Meta!$B$6,N84),1)</f>
        <v>5178</v>
      </c>
      <c r="AW84" s="7">
        <f t="shared" si="29"/>
        <v>80041.399999999994</v>
      </c>
    </row>
    <row r="85" spans="1:49" x14ac:dyDescent="0.55000000000000004">
      <c r="A85" s="11" t="s">
        <v>97</v>
      </c>
      <c r="B85" s="7" t="s">
        <v>10</v>
      </c>
      <c r="C85" s="10">
        <v>29.01</v>
      </c>
      <c r="D85" s="10">
        <v>54.66</v>
      </c>
      <c r="E85" s="10">
        <v>0</v>
      </c>
      <c r="F85" s="10">
        <v>1.85</v>
      </c>
      <c r="G85" s="10">
        <v>0</v>
      </c>
      <c r="H85" s="10">
        <v>12.54</v>
      </c>
      <c r="I85" s="10">
        <v>1.94</v>
      </c>
      <c r="J85" s="7">
        <f t="shared" si="30"/>
        <v>3.79</v>
      </c>
      <c r="K85" s="10">
        <v>59.58</v>
      </c>
      <c r="L85" s="7">
        <v>40.42</v>
      </c>
      <c r="M85" s="10">
        <v>82107</v>
      </c>
      <c r="N85" s="10">
        <v>2380</v>
      </c>
      <c r="O85" s="7">
        <f t="shared" si="31"/>
        <v>79727</v>
      </c>
      <c r="P85" s="10">
        <f>ROUND($C85+MIN($D85:$E85)*(1-SUMIFS(PrefFlows!$C:$C,PrefFlows!$A:$A,INDEX($D$1:$E$1,MATCH(MIN($D85:$E85),$D85:$E85,0)),PrefFlows!$B:$B,$B85)),2)</f>
        <v>29.01</v>
      </c>
      <c r="Q85" s="10">
        <f>ROUND(MAX($D85:$E85)+MIN($D85:$E85)*SUMIFS(PrefFlows!$C:$C,PrefFlows!$A:$A,INDEX($D$1:$E$1,MATCH(MIN($D85:$E85),$D85:$E85,0)),PrefFlows!$B:$B,$B85),2)</f>
        <v>54.66</v>
      </c>
      <c r="R85" s="10">
        <f t="shared" si="32"/>
        <v>0</v>
      </c>
      <c r="S85" s="10">
        <f t="shared" si="33"/>
        <v>12.54</v>
      </c>
      <c r="T85" s="7">
        <f t="shared" si="34"/>
        <v>3.79</v>
      </c>
      <c r="U85" s="9">
        <f t="shared" si="35"/>
        <v>25.65</v>
      </c>
      <c r="V85" s="10">
        <f>ROUND($R85*SUMIFS(PrefFlows!$C:$C,PrefFlows!$A:$A,$R$1,PrefFlows!$B:$B,$B85)+$S85*SUMIFS(PrefFlows!$C:$C,PrefFlows!$A:$A,$S$1,PrefFlows!$B:$B,$B85)+$T85*SUMIFS(PrefFlows!$C:$C,PrefFlows!$A:$A,$T$1,PrefFlows!$B:$B,$B85),2)</f>
        <v>4.0999999999999996</v>
      </c>
      <c r="W85" s="7">
        <f>ROUND($R85*(1-SUMIFS(PrefFlows!$C:$C,PrefFlows!$A:$A,$R$1,PrefFlows!$B:$B,$B85))+$S85*(1-SUMIFS(PrefFlows!$C:$C,PrefFlows!$A:$A,$S$1,PrefFlows!$B:$B,$B85))+$T85*(1-SUMIFS(PrefFlows!$C:$C,PrefFlows!$A:$A,$T$1,PrefFlows!$B:$B,$B85)),2)</f>
        <v>12.23</v>
      </c>
      <c r="X85" s="10">
        <f t="shared" si="36"/>
        <v>4.92</v>
      </c>
      <c r="Y85" s="7">
        <f t="shared" si="37"/>
        <v>11.41</v>
      </c>
      <c r="Z85" s="10">
        <f t="shared" si="38"/>
        <v>0.25109999999999999</v>
      </c>
      <c r="AA85" s="10">
        <f t="shared" si="39"/>
        <v>0.30130000000000001</v>
      </c>
      <c r="AB85" s="10">
        <f t="shared" si="40"/>
        <v>5.0200000000000002E-2</v>
      </c>
      <c r="AC85" s="7">
        <v>-0.120832831490694</v>
      </c>
      <c r="AD85" s="10">
        <f>ROUND(R85*(1-(Exhaust!$B$2+AC85)),2)</f>
        <v>0</v>
      </c>
      <c r="AE85" s="10">
        <f>ROUND(S85*(1-(Exhaust!$B$3+$AC85)),2)</f>
        <v>9.0399999999999991</v>
      </c>
      <c r="AF85" s="7">
        <f>ROUND(T85*(1-(Exhaust!$B$4+$AC85)),2)</f>
        <v>2.35</v>
      </c>
      <c r="AG85" s="10">
        <f>ROUND($AD85*(SUMIFS(PrefFlows!$C:$C,PrefFlows!$A:$A,$R$1,PrefFlows!$B:$B,$B85)+$AB85)+$AE85*(SUMIFS(PrefFlows!$C:$C,PrefFlows!$A:$A,$S$1,PrefFlows!$B:$B,$B85)+$AB85)+$AF85*(SUMIFS(PrefFlows!$C:$C,PrefFlows!$A:$A,$T$1,PrefFlows!$B:$B,$B85)+$AB85),2)</f>
        <v>3.33</v>
      </c>
      <c r="AH85" s="7">
        <f>ROUND($AD85*(1-(SUMIFS(PrefFlows!$C:$C,PrefFlows!$A:$A,$R$1,PrefFlows!$B:$B,$B85)+$AB85))+$AE85*(1-(SUMIFS(PrefFlows!$C:$C,PrefFlows!$A:$A,$S$1,PrefFlows!$B:$B,$B85)+$AB85))+$AF85*(1-(SUMIFS(PrefFlows!$C:$C,PrefFlows!$A:$A,$T$1,PrefFlows!$B:$B,$B85)+$AB85)),2)</f>
        <v>8.06</v>
      </c>
      <c r="AI85" s="10">
        <f t="shared" si="41"/>
        <v>57.99</v>
      </c>
      <c r="AJ85" s="7">
        <f t="shared" si="42"/>
        <v>37.07</v>
      </c>
      <c r="AK85" s="10">
        <f t="shared" si="43"/>
        <v>61</v>
      </c>
      <c r="AL85" s="7">
        <f t="shared" si="43"/>
        <v>39</v>
      </c>
      <c r="AM85" s="1">
        <f t="shared" si="26"/>
        <v>9.58</v>
      </c>
      <c r="AN85" s="1">
        <f t="shared" si="27"/>
        <v>12.08</v>
      </c>
      <c r="AO85" s="7">
        <f t="shared" si="28"/>
        <v>11</v>
      </c>
      <c r="AP85" s="1" t="b">
        <f t="shared" si="44"/>
        <v>0</v>
      </c>
      <c r="AQ85" s="1" t="b">
        <f t="shared" si="44"/>
        <v>0</v>
      </c>
      <c r="AR85" s="7" t="b">
        <f t="shared" si="45"/>
        <v>0</v>
      </c>
      <c r="AS85" s="1">
        <f t="shared" si="46"/>
        <v>2.5</v>
      </c>
      <c r="AT85" s="1">
        <f t="shared" si="46"/>
        <v>1.42</v>
      </c>
      <c r="AU85" s="7">
        <f t="shared" si="47"/>
        <v>1.08</v>
      </c>
      <c r="AV85" s="1">
        <f>ROUND(IF(B85="NSW",N85*Meta!$B$6,N85),1)</f>
        <v>2380</v>
      </c>
      <c r="AW85" s="7">
        <f t="shared" si="29"/>
        <v>76660.7</v>
      </c>
    </row>
    <row r="86" spans="1:49" x14ac:dyDescent="0.55000000000000004">
      <c r="A86" s="11" t="s">
        <v>98</v>
      </c>
      <c r="B86" s="7" t="s">
        <v>10</v>
      </c>
      <c r="C86" s="10">
        <v>33.770000000000003</v>
      </c>
      <c r="D86" s="10">
        <v>51.22</v>
      </c>
      <c r="E86" s="10">
        <v>0</v>
      </c>
      <c r="F86" s="10">
        <v>1.49</v>
      </c>
      <c r="G86" s="10">
        <v>0</v>
      </c>
      <c r="H86" s="10">
        <v>9.41</v>
      </c>
      <c r="I86" s="10">
        <v>4.1100000000000003</v>
      </c>
      <c r="J86" s="7">
        <f t="shared" si="30"/>
        <v>5.6</v>
      </c>
      <c r="K86" s="10">
        <v>55.83</v>
      </c>
      <c r="L86" s="7">
        <v>44.17</v>
      </c>
      <c r="M86" s="10">
        <v>80985</v>
      </c>
      <c r="N86" s="10">
        <v>3254</v>
      </c>
      <c r="O86" s="7">
        <f t="shared" si="31"/>
        <v>77731</v>
      </c>
      <c r="P86" s="10">
        <f>ROUND($C86+MIN($D86:$E86)*(1-SUMIFS(PrefFlows!$C:$C,PrefFlows!$A:$A,INDEX($D$1:$E$1,MATCH(MIN($D86:$E86),$D86:$E86,0)),PrefFlows!$B:$B,$B86)),2)</f>
        <v>33.770000000000003</v>
      </c>
      <c r="Q86" s="10">
        <f>ROUND(MAX($D86:$E86)+MIN($D86:$E86)*SUMIFS(PrefFlows!$C:$C,PrefFlows!$A:$A,INDEX($D$1:$E$1,MATCH(MIN($D86:$E86),$D86:$E86,0)),PrefFlows!$B:$B,$B86),2)</f>
        <v>51.22</v>
      </c>
      <c r="R86" s="10">
        <f t="shared" si="32"/>
        <v>0</v>
      </c>
      <c r="S86" s="10">
        <f t="shared" si="33"/>
        <v>9.41</v>
      </c>
      <c r="T86" s="7">
        <f t="shared" si="34"/>
        <v>5.6</v>
      </c>
      <c r="U86" s="9">
        <f t="shared" si="35"/>
        <v>17.45</v>
      </c>
      <c r="V86" s="10">
        <f>ROUND($R86*SUMIFS(PrefFlows!$C:$C,PrefFlows!$A:$A,$R$1,PrefFlows!$B:$B,$B86)+$S86*SUMIFS(PrefFlows!$C:$C,PrefFlows!$A:$A,$S$1,PrefFlows!$B:$B,$B86)+$T86*SUMIFS(PrefFlows!$C:$C,PrefFlows!$A:$A,$T$1,PrefFlows!$B:$B,$B86),2)</f>
        <v>4.53</v>
      </c>
      <c r="W86" s="7">
        <f>ROUND($R86*(1-SUMIFS(PrefFlows!$C:$C,PrefFlows!$A:$A,$R$1,PrefFlows!$B:$B,$B86))+$S86*(1-SUMIFS(PrefFlows!$C:$C,PrefFlows!$A:$A,$S$1,PrefFlows!$B:$B,$B86))+$T86*(1-SUMIFS(PrefFlows!$C:$C,PrefFlows!$A:$A,$T$1,PrefFlows!$B:$B,$B86)),2)</f>
        <v>10.48</v>
      </c>
      <c r="X86" s="10">
        <f t="shared" si="36"/>
        <v>4.6100000000000003</v>
      </c>
      <c r="Y86" s="7">
        <f t="shared" si="37"/>
        <v>10.4</v>
      </c>
      <c r="Z86" s="10">
        <f t="shared" si="38"/>
        <v>0.30180000000000001</v>
      </c>
      <c r="AA86" s="10">
        <f t="shared" si="39"/>
        <v>0.30709999999999998</v>
      </c>
      <c r="AB86" s="10">
        <f t="shared" si="40"/>
        <v>5.3E-3</v>
      </c>
      <c r="AC86" s="7">
        <v>-1.8631806505345301E-2</v>
      </c>
      <c r="AD86" s="10">
        <f>ROUND(R86*(1-(Exhaust!$B$2+AC86)),2)</f>
        <v>0</v>
      </c>
      <c r="AE86" s="10">
        <f>ROUND(S86*(1-(Exhaust!$B$3+$AC86)),2)</f>
        <v>5.82</v>
      </c>
      <c r="AF86" s="7">
        <f>ROUND(T86*(1-(Exhaust!$B$4+$AC86)),2)</f>
        <v>2.9</v>
      </c>
      <c r="AG86" s="10">
        <f>ROUND($AD86*(SUMIFS(PrefFlows!$C:$C,PrefFlows!$A:$A,$R$1,PrefFlows!$B:$B,$B86)+$AB86)+$AE86*(SUMIFS(PrefFlows!$C:$C,PrefFlows!$A:$A,$S$1,PrefFlows!$B:$B,$B86)+$AB86)+$AF86*(SUMIFS(PrefFlows!$C:$C,PrefFlows!$A:$A,$T$1,PrefFlows!$B:$B,$B86)+$AB86),2)</f>
        <v>2.5499999999999998</v>
      </c>
      <c r="AH86" s="7">
        <f>ROUND($AD86*(1-(SUMIFS(PrefFlows!$C:$C,PrefFlows!$A:$A,$R$1,PrefFlows!$B:$B,$B86)+$AB86))+$AE86*(1-(SUMIFS(PrefFlows!$C:$C,PrefFlows!$A:$A,$S$1,PrefFlows!$B:$B,$B86)+$AB86))+$AF86*(1-(SUMIFS(PrefFlows!$C:$C,PrefFlows!$A:$A,$T$1,PrefFlows!$B:$B,$B86)+$AB86)),2)</f>
        <v>6.17</v>
      </c>
      <c r="AI86" s="10">
        <f t="shared" si="41"/>
        <v>53.77</v>
      </c>
      <c r="AJ86" s="7">
        <f t="shared" si="42"/>
        <v>39.94</v>
      </c>
      <c r="AK86" s="10">
        <f t="shared" si="43"/>
        <v>57.38</v>
      </c>
      <c r="AL86" s="7">
        <f t="shared" si="43"/>
        <v>42.62</v>
      </c>
      <c r="AM86" s="1">
        <f t="shared" si="26"/>
        <v>5.83</v>
      </c>
      <c r="AN86" s="1">
        <f t="shared" si="27"/>
        <v>7.78</v>
      </c>
      <c r="AO86" s="7">
        <f t="shared" si="28"/>
        <v>7.38</v>
      </c>
      <c r="AP86" s="1" t="b">
        <f t="shared" si="44"/>
        <v>0</v>
      </c>
      <c r="AQ86" s="1" t="b">
        <f t="shared" si="44"/>
        <v>0</v>
      </c>
      <c r="AR86" s="7" t="b">
        <f t="shared" si="45"/>
        <v>0</v>
      </c>
      <c r="AS86" s="1">
        <f t="shared" si="46"/>
        <v>1.9500000000000002</v>
      </c>
      <c r="AT86" s="1">
        <f t="shared" si="46"/>
        <v>1.5499999999999998</v>
      </c>
      <c r="AU86" s="7">
        <f t="shared" si="47"/>
        <v>0.40000000000000036</v>
      </c>
      <c r="AV86" s="1">
        <f>ROUND(IF(B86="NSW",N86*Meta!$B$6,N86),1)</f>
        <v>3254</v>
      </c>
      <c r="AW86" s="7">
        <f t="shared" si="29"/>
        <v>74017.3</v>
      </c>
    </row>
    <row r="87" spans="1:49" x14ac:dyDescent="0.55000000000000004">
      <c r="A87" s="11" t="s">
        <v>99</v>
      </c>
      <c r="B87" s="7" t="s">
        <v>10</v>
      </c>
      <c r="C87" s="10">
        <v>53.25</v>
      </c>
      <c r="D87" s="10">
        <v>37.450000000000003</v>
      </c>
      <c r="E87" s="10">
        <v>0</v>
      </c>
      <c r="F87" s="10">
        <v>1.44</v>
      </c>
      <c r="G87" s="10">
        <v>0</v>
      </c>
      <c r="H87" s="10">
        <v>4.12</v>
      </c>
      <c r="I87" s="10">
        <v>3.74</v>
      </c>
      <c r="J87" s="7">
        <f t="shared" si="30"/>
        <v>5.18</v>
      </c>
      <c r="K87" s="10">
        <v>41.21</v>
      </c>
      <c r="L87" s="7">
        <v>58.79</v>
      </c>
      <c r="M87" s="10">
        <v>86208</v>
      </c>
      <c r="N87" s="10">
        <v>4184</v>
      </c>
      <c r="O87" s="7">
        <f t="shared" si="31"/>
        <v>82024</v>
      </c>
      <c r="P87" s="10">
        <f>ROUND($C87+MIN($D87:$E87)*(1-SUMIFS(PrefFlows!$C:$C,PrefFlows!$A:$A,INDEX($D$1:$E$1,MATCH(MIN($D87:$E87),$D87:$E87,0)),PrefFlows!$B:$B,$B87)),2)</f>
        <v>53.25</v>
      </c>
      <c r="Q87" s="10">
        <f>ROUND(MAX($D87:$E87)+MIN($D87:$E87)*SUMIFS(PrefFlows!$C:$C,PrefFlows!$A:$A,INDEX($D$1:$E$1,MATCH(MIN($D87:$E87),$D87:$E87,0)),PrefFlows!$B:$B,$B87),2)</f>
        <v>37.450000000000003</v>
      </c>
      <c r="R87" s="10">
        <f t="shared" si="32"/>
        <v>0</v>
      </c>
      <c r="S87" s="10">
        <f t="shared" si="33"/>
        <v>4.12</v>
      </c>
      <c r="T87" s="7">
        <f t="shared" si="34"/>
        <v>5.18</v>
      </c>
      <c r="U87" s="9">
        <f t="shared" si="35"/>
        <v>-15.8</v>
      </c>
      <c r="V87" s="10">
        <f>ROUND($R87*SUMIFS(PrefFlows!$C:$C,PrefFlows!$A:$A,$R$1,PrefFlows!$B:$B,$B87)+$S87*SUMIFS(PrefFlows!$C:$C,PrefFlows!$A:$A,$S$1,PrefFlows!$B:$B,$B87)+$T87*SUMIFS(PrefFlows!$C:$C,PrefFlows!$A:$A,$T$1,PrefFlows!$B:$B,$B87),2)</f>
        <v>3.42</v>
      </c>
      <c r="W87" s="7">
        <f>ROUND($R87*(1-SUMIFS(PrefFlows!$C:$C,PrefFlows!$A:$A,$R$1,PrefFlows!$B:$B,$B87))+$S87*(1-SUMIFS(PrefFlows!$C:$C,PrefFlows!$A:$A,$S$1,PrefFlows!$B:$B,$B87))+$T87*(1-SUMIFS(PrefFlows!$C:$C,PrefFlows!$A:$A,$T$1,PrefFlows!$B:$B,$B87)),2)</f>
        <v>5.88</v>
      </c>
      <c r="X87" s="10">
        <f t="shared" si="36"/>
        <v>3.76</v>
      </c>
      <c r="Y87" s="7">
        <f t="shared" si="37"/>
        <v>5.54</v>
      </c>
      <c r="Z87" s="10">
        <f t="shared" si="38"/>
        <v>0.36770000000000003</v>
      </c>
      <c r="AA87" s="10">
        <f t="shared" si="39"/>
        <v>0.40429999999999999</v>
      </c>
      <c r="AB87" s="10">
        <f t="shared" si="40"/>
        <v>3.6600000000000001E-2</v>
      </c>
      <c r="AC87" s="7">
        <v>9.9150859953263098E-3</v>
      </c>
      <c r="AD87" s="10">
        <f>ROUND(R87*(1-(Exhaust!$B$2+AC87)),2)</f>
        <v>0</v>
      </c>
      <c r="AE87" s="10">
        <f>ROUND(S87*(1-(Exhaust!$B$3+$AC87)),2)</f>
        <v>2.4300000000000002</v>
      </c>
      <c r="AF87" s="7">
        <f>ROUND(T87*(1-(Exhaust!$B$4+$AC87)),2)</f>
        <v>2.54</v>
      </c>
      <c r="AG87" s="10">
        <f>ROUND($AD87*(SUMIFS(PrefFlows!$C:$C,PrefFlows!$A:$A,$R$1,PrefFlows!$B:$B,$B87)+$AB87)+$AE87*(SUMIFS(PrefFlows!$C:$C,PrefFlows!$A:$A,$S$1,PrefFlows!$B:$B,$B87)+$AB87)+$AF87*(SUMIFS(PrefFlows!$C:$C,PrefFlows!$A:$A,$T$1,PrefFlows!$B:$B,$B87)+$AB87),2)</f>
        <v>1.93</v>
      </c>
      <c r="AH87" s="7">
        <f>ROUND($AD87*(1-(SUMIFS(PrefFlows!$C:$C,PrefFlows!$A:$A,$R$1,PrefFlows!$B:$B,$B87)+$AB87))+$AE87*(1-(SUMIFS(PrefFlows!$C:$C,PrefFlows!$A:$A,$S$1,PrefFlows!$B:$B,$B87)+$AB87))+$AF87*(1-(SUMIFS(PrefFlows!$C:$C,PrefFlows!$A:$A,$T$1,PrefFlows!$B:$B,$B87)+$AB87)),2)</f>
        <v>3.04</v>
      </c>
      <c r="AI87" s="10">
        <f t="shared" si="41"/>
        <v>39.380000000000003</v>
      </c>
      <c r="AJ87" s="7">
        <f t="shared" si="42"/>
        <v>56.29</v>
      </c>
      <c r="AK87" s="10">
        <f t="shared" si="43"/>
        <v>41.16</v>
      </c>
      <c r="AL87" s="7">
        <f t="shared" si="43"/>
        <v>58.84</v>
      </c>
      <c r="AM87" s="1">
        <f t="shared" si="26"/>
        <v>-8.7899999999999991</v>
      </c>
      <c r="AN87" s="1">
        <f t="shared" si="27"/>
        <v>-8.75</v>
      </c>
      <c r="AO87" s="7">
        <f t="shared" si="28"/>
        <v>-8.84</v>
      </c>
      <c r="AP87" s="1" t="b">
        <f t="shared" si="44"/>
        <v>0</v>
      </c>
      <c r="AQ87" s="1" t="b">
        <f t="shared" si="44"/>
        <v>0</v>
      </c>
      <c r="AR87" s="7" t="b">
        <f t="shared" si="45"/>
        <v>0</v>
      </c>
      <c r="AS87" s="1">
        <f t="shared" si="46"/>
        <v>3.9999999999999147E-2</v>
      </c>
      <c r="AT87" s="1">
        <f t="shared" si="46"/>
        <v>-5.0000000000000711E-2</v>
      </c>
      <c r="AU87" s="7">
        <f t="shared" si="47"/>
        <v>8.9999999999999858E-2</v>
      </c>
      <c r="AV87" s="1">
        <f>ROUND(IF(B87="NSW",N87*Meta!$B$6,N87),1)</f>
        <v>4184</v>
      </c>
      <c r="AW87" s="7">
        <f t="shared" si="29"/>
        <v>80015.5</v>
      </c>
    </row>
    <row r="88" spans="1:49" x14ac:dyDescent="0.55000000000000004">
      <c r="A88" s="11" t="s">
        <v>100</v>
      </c>
      <c r="B88" s="7" t="s">
        <v>23</v>
      </c>
      <c r="C88" s="10">
        <v>31.34</v>
      </c>
      <c r="D88" s="10">
        <v>53.35</v>
      </c>
      <c r="E88" s="10">
        <v>0</v>
      </c>
      <c r="F88" s="10">
        <v>1.25</v>
      </c>
      <c r="G88" s="10">
        <v>0</v>
      </c>
      <c r="H88" s="10">
        <v>6.47</v>
      </c>
      <c r="I88" s="10">
        <v>7.59</v>
      </c>
      <c r="J88" s="7">
        <f t="shared" si="30"/>
        <v>8.84</v>
      </c>
      <c r="K88" s="10">
        <v>60</v>
      </c>
      <c r="L88" s="7">
        <v>40</v>
      </c>
      <c r="M88" s="10">
        <v>82539</v>
      </c>
      <c r="N88" s="10">
        <v>4976</v>
      </c>
      <c r="O88" s="7">
        <f t="shared" si="31"/>
        <v>77563</v>
      </c>
      <c r="P88" s="10">
        <f>ROUND($C88+MIN($D88:$E88)*(1-SUMIFS(PrefFlows!$C:$C,PrefFlows!$A:$A,INDEX($D$1:$E$1,MATCH(MIN($D88:$E88),$D88:$E88,0)),PrefFlows!$B:$B,$B88)),2)</f>
        <v>31.34</v>
      </c>
      <c r="Q88" s="10">
        <f>ROUND(MAX($D88:$E88)+MIN($D88:$E88)*SUMIFS(PrefFlows!$C:$C,PrefFlows!$A:$A,INDEX($D$1:$E$1,MATCH(MIN($D88:$E88),$D88:$E88,0)),PrefFlows!$B:$B,$B88),2)</f>
        <v>53.35</v>
      </c>
      <c r="R88" s="10">
        <f t="shared" si="32"/>
        <v>0</v>
      </c>
      <c r="S88" s="10">
        <f t="shared" si="33"/>
        <v>6.47</v>
      </c>
      <c r="T88" s="7">
        <f t="shared" si="34"/>
        <v>8.84</v>
      </c>
      <c r="U88" s="9">
        <f t="shared" si="35"/>
        <v>22.01</v>
      </c>
      <c r="V88" s="10">
        <f>ROUND($R88*SUMIFS(PrefFlows!$C:$C,PrefFlows!$A:$A,$R$1,PrefFlows!$B:$B,$B88)+$S88*SUMIFS(PrefFlows!$C:$C,PrefFlows!$A:$A,$S$1,PrefFlows!$B:$B,$B88)+$T88*SUMIFS(PrefFlows!$C:$C,PrefFlows!$A:$A,$T$1,PrefFlows!$B:$B,$B88),2)</f>
        <v>6.11</v>
      </c>
      <c r="W88" s="7">
        <f>ROUND($R88*(1-SUMIFS(PrefFlows!$C:$C,PrefFlows!$A:$A,$R$1,PrefFlows!$B:$B,$B88))+$S88*(1-SUMIFS(PrefFlows!$C:$C,PrefFlows!$A:$A,$S$1,PrefFlows!$B:$B,$B88))+$T88*(1-SUMIFS(PrefFlows!$C:$C,PrefFlows!$A:$A,$T$1,PrefFlows!$B:$B,$B88)),2)</f>
        <v>9.1999999999999993</v>
      </c>
      <c r="X88" s="10">
        <f t="shared" si="36"/>
        <v>6.65</v>
      </c>
      <c r="Y88" s="7">
        <f t="shared" si="37"/>
        <v>8.66</v>
      </c>
      <c r="Z88" s="10">
        <f t="shared" si="38"/>
        <v>0.39910000000000001</v>
      </c>
      <c r="AA88" s="10">
        <f t="shared" si="39"/>
        <v>0.43440000000000001</v>
      </c>
      <c r="AB88" s="10">
        <f t="shared" si="40"/>
        <v>3.5299999999999998E-2</v>
      </c>
      <c r="AC88" s="7">
        <v>1.5075988465036201E-2</v>
      </c>
      <c r="AD88" s="10">
        <f>ROUND(R88*(1-(Exhaust!$B$2+AC88)),2)</f>
        <v>0</v>
      </c>
      <c r="AE88" s="10">
        <f>ROUND(S88*(1-(Exhaust!$B$3+$AC88)),2)</f>
        <v>3.78</v>
      </c>
      <c r="AF88" s="7">
        <f>ROUND(T88*(1-(Exhaust!$B$4+$AC88)),2)</f>
        <v>4.29</v>
      </c>
      <c r="AG88" s="10">
        <f>ROUND($AD88*(SUMIFS(PrefFlows!$C:$C,PrefFlows!$A:$A,$R$1,PrefFlows!$B:$B,$B88)+$AB88)+$AE88*(SUMIFS(PrefFlows!$C:$C,PrefFlows!$A:$A,$S$1,PrefFlows!$B:$B,$B88)+$AB88)+$AF88*(SUMIFS(PrefFlows!$C:$C,PrefFlows!$A:$A,$T$1,PrefFlows!$B:$B,$B88)+$AB88),2)</f>
        <v>3.41</v>
      </c>
      <c r="AH88" s="7">
        <f>ROUND($AD88*(1-(SUMIFS(PrefFlows!$C:$C,PrefFlows!$A:$A,$R$1,PrefFlows!$B:$B,$B88)+$AB88))+$AE88*(1-(SUMIFS(PrefFlows!$C:$C,PrefFlows!$A:$A,$S$1,PrefFlows!$B:$B,$B88)+$AB88))+$AF88*(1-(SUMIFS(PrefFlows!$C:$C,PrefFlows!$A:$A,$T$1,PrefFlows!$B:$B,$B88)+$AB88)),2)</f>
        <v>4.66</v>
      </c>
      <c r="AI88" s="10">
        <f t="shared" si="41"/>
        <v>56.76</v>
      </c>
      <c r="AJ88" s="7">
        <f t="shared" si="42"/>
        <v>36</v>
      </c>
      <c r="AK88" s="10">
        <f t="shared" si="43"/>
        <v>61.19</v>
      </c>
      <c r="AL88" s="7">
        <f t="shared" si="43"/>
        <v>38.81</v>
      </c>
      <c r="AM88" s="1">
        <f t="shared" si="26"/>
        <v>10</v>
      </c>
      <c r="AN88" s="1">
        <f t="shared" si="27"/>
        <v>11.31</v>
      </c>
      <c r="AO88" s="7">
        <f t="shared" si="28"/>
        <v>11.19</v>
      </c>
      <c r="AP88" s="1" t="b">
        <f t="shared" si="44"/>
        <v>0</v>
      </c>
      <c r="AQ88" s="1" t="b">
        <f t="shared" si="44"/>
        <v>0</v>
      </c>
      <c r="AR88" s="7" t="b">
        <f t="shared" si="45"/>
        <v>0</v>
      </c>
      <c r="AS88" s="1">
        <f t="shared" si="46"/>
        <v>1.3100000000000005</v>
      </c>
      <c r="AT88" s="1">
        <f t="shared" si="46"/>
        <v>1.1899999999999995</v>
      </c>
      <c r="AU88" s="7">
        <f t="shared" si="47"/>
        <v>0.12000000000000099</v>
      </c>
      <c r="AV88" s="1">
        <f>ROUND(IF(B88="NSW",N88*Meta!$B$6,N88),1)</f>
        <v>4976</v>
      </c>
      <c r="AW88" s="7">
        <f t="shared" si="29"/>
        <v>73726.899999999994</v>
      </c>
    </row>
    <row r="89" spans="1:49" x14ac:dyDescent="0.55000000000000004">
      <c r="A89" s="11" t="s">
        <v>101</v>
      </c>
      <c r="B89" s="7" t="s">
        <v>23</v>
      </c>
      <c r="C89" s="10">
        <v>48.88</v>
      </c>
      <c r="D89" s="10">
        <v>41.19</v>
      </c>
      <c r="E89" s="10">
        <v>0</v>
      </c>
      <c r="F89" s="10">
        <v>1.49</v>
      </c>
      <c r="G89" s="10">
        <v>0</v>
      </c>
      <c r="H89" s="10">
        <v>5.63</v>
      </c>
      <c r="I89" s="10">
        <v>2.81</v>
      </c>
      <c r="J89" s="7">
        <f t="shared" si="30"/>
        <v>4.3</v>
      </c>
      <c r="K89" s="10">
        <v>44.73</v>
      </c>
      <c r="L89" s="7">
        <v>55.27</v>
      </c>
      <c r="M89" s="10">
        <v>86324</v>
      </c>
      <c r="N89" s="10">
        <v>4014</v>
      </c>
      <c r="O89" s="7">
        <f t="shared" si="31"/>
        <v>82310</v>
      </c>
      <c r="P89" s="10">
        <f>ROUND($C89+MIN($D89:$E89)*(1-SUMIFS(PrefFlows!$C:$C,PrefFlows!$A:$A,INDEX($D$1:$E$1,MATCH(MIN($D89:$E89),$D89:$E89,0)),PrefFlows!$B:$B,$B89)),2)</f>
        <v>48.88</v>
      </c>
      <c r="Q89" s="10">
        <f>ROUND(MAX($D89:$E89)+MIN($D89:$E89)*SUMIFS(PrefFlows!$C:$C,PrefFlows!$A:$A,INDEX($D$1:$E$1,MATCH(MIN($D89:$E89),$D89:$E89,0)),PrefFlows!$B:$B,$B89),2)</f>
        <v>41.19</v>
      </c>
      <c r="R89" s="10">
        <f t="shared" si="32"/>
        <v>0</v>
      </c>
      <c r="S89" s="10">
        <f t="shared" si="33"/>
        <v>5.63</v>
      </c>
      <c r="T89" s="7">
        <f t="shared" si="34"/>
        <v>4.3</v>
      </c>
      <c r="U89" s="9">
        <f t="shared" si="35"/>
        <v>-7.69</v>
      </c>
      <c r="V89" s="10">
        <f>ROUND($R89*SUMIFS(PrefFlows!$C:$C,PrefFlows!$A:$A,$R$1,PrefFlows!$B:$B,$B89)+$S89*SUMIFS(PrefFlows!$C:$C,PrefFlows!$A:$A,$S$1,PrefFlows!$B:$B,$B89)+$T89*SUMIFS(PrefFlows!$C:$C,PrefFlows!$A:$A,$T$1,PrefFlows!$B:$B,$B89),2)</f>
        <v>3.6</v>
      </c>
      <c r="W89" s="7">
        <f>ROUND($R89*(1-SUMIFS(PrefFlows!$C:$C,PrefFlows!$A:$A,$R$1,PrefFlows!$B:$B,$B89))+$S89*(1-SUMIFS(PrefFlows!$C:$C,PrefFlows!$A:$A,$S$1,PrefFlows!$B:$B,$B89))+$T89*(1-SUMIFS(PrefFlows!$C:$C,PrefFlows!$A:$A,$T$1,PrefFlows!$B:$B,$B89)),2)</f>
        <v>6.33</v>
      </c>
      <c r="X89" s="10">
        <f t="shared" si="36"/>
        <v>3.54</v>
      </c>
      <c r="Y89" s="7">
        <f t="shared" si="37"/>
        <v>6.39</v>
      </c>
      <c r="Z89" s="10">
        <f t="shared" si="38"/>
        <v>0.36249999999999999</v>
      </c>
      <c r="AA89" s="10">
        <f t="shared" si="39"/>
        <v>0.35649999999999998</v>
      </c>
      <c r="AB89" s="10">
        <f t="shared" si="40"/>
        <v>-6.0000000000000001E-3</v>
      </c>
      <c r="AC89" s="7">
        <v>-2.2458099735002301E-2</v>
      </c>
      <c r="AD89" s="10">
        <f>ROUND(R89*(1-(Exhaust!$B$2+AC89)),2)</f>
        <v>0</v>
      </c>
      <c r="AE89" s="10">
        <f>ROUND(S89*(1-(Exhaust!$B$3+$AC89)),2)</f>
        <v>3.5</v>
      </c>
      <c r="AF89" s="7">
        <f>ROUND(T89*(1-(Exhaust!$B$4+$AC89)),2)</f>
        <v>2.25</v>
      </c>
      <c r="AG89" s="10">
        <f>ROUND($AD89*(SUMIFS(PrefFlows!$C:$C,PrefFlows!$A:$A,$R$1,PrefFlows!$B:$B,$B89)+$AB89)+$AE89*(SUMIFS(PrefFlows!$C:$C,PrefFlows!$A:$A,$S$1,PrefFlows!$B:$B,$B89)+$AB89)+$AF89*(SUMIFS(PrefFlows!$C:$C,PrefFlows!$A:$A,$T$1,PrefFlows!$B:$B,$B89)+$AB89),2)</f>
        <v>1.99</v>
      </c>
      <c r="AH89" s="7">
        <f>ROUND($AD89*(1-(SUMIFS(PrefFlows!$C:$C,PrefFlows!$A:$A,$R$1,PrefFlows!$B:$B,$B89)+$AB89))+$AE89*(1-(SUMIFS(PrefFlows!$C:$C,PrefFlows!$A:$A,$S$1,PrefFlows!$B:$B,$B89)+$AB89))+$AF89*(1-(SUMIFS(PrefFlows!$C:$C,PrefFlows!$A:$A,$T$1,PrefFlows!$B:$B,$B89)+$AB89)),2)</f>
        <v>3.76</v>
      </c>
      <c r="AI89" s="10">
        <f t="shared" si="41"/>
        <v>43.18</v>
      </c>
      <c r="AJ89" s="7">
        <f t="shared" si="42"/>
        <v>52.64</v>
      </c>
      <c r="AK89" s="10">
        <f t="shared" si="43"/>
        <v>45.06</v>
      </c>
      <c r="AL89" s="7">
        <f t="shared" si="43"/>
        <v>54.94</v>
      </c>
      <c r="AM89" s="1">
        <f t="shared" si="26"/>
        <v>-5.27</v>
      </c>
      <c r="AN89" s="1">
        <f t="shared" si="27"/>
        <v>-4.82</v>
      </c>
      <c r="AO89" s="7">
        <f t="shared" si="28"/>
        <v>-4.9400000000000004</v>
      </c>
      <c r="AP89" s="1" t="b">
        <f t="shared" si="44"/>
        <v>0</v>
      </c>
      <c r="AQ89" s="1" t="b">
        <f t="shared" si="44"/>
        <v>0</v>
      </c>
      <c r="AR89" s="7" t="b">
        <f t="shared" si="45"/>
        <v>0</v>
      </c>
      <c r="AS89" s="1">
        <f t="shared" si="46"/>
        <v>0.44999999999999929</v>
      </c>
      <c r="AT89" s="1">
        <f t="shared" si="46"/>
        <v>0.32999999999999918</v>
      </c>
      <c r="AU89" s="7">
        <f t="shared" si="47"/>
        <v>0.12000000000000011</v>
      </c>
      <c r="AV89" s="1">
        <f>ROUND(IF(B89="NSW",N89*Meta!$B$6,N89),1)</f>
        <v>4014</v>
      </c>
      <c r="AW89" s="7">
        <f t="shared" si="29"/>
        <v>80352.2</v>
      </c>
    </row>
    <row r="90" spans="1:49" x14ac:dyDescent="0.55000000000000004">
      <c r="A90" s="11" t="s">
        <v>102</v>
      </c>
      <c r="B90" s="7" t="s">
        <v>13</v>
      </c>
      <c r="C90" s="10">
        <v>37.119999999999997</v>
      </c>
      <c r="D90" s="10">
        <v>48.07</v>
      </c>
      <c r="E90" s="10">
        <v>0</v>
      </c>
      <c r="F90" s="10">
        <v>0.84</v>
      </c>
      <c r="G90" s="10">
        <v>1.87</v>
      </c>
      <c r="H90" s="10">
        <v>3.49</v>
      </c>
      <c r="I90" s="10">
        <v>10.48</v>
      </c>
      <c r="J90" s="7">
        <f t="shared" si="30"/>
        <v>9.4499999999999993</v>
      </c>
      <c r="K90" s="10">
        <v>55.26</v>
      </c>
      <c r="L90" s="7">
        <v>44.74</v>
      </c>
      <c r="M90" s="10">
        <v>78934</v>
      </c>
      <c r="N90" s="10">
        <v>5880</v>
      </c>
      <c r="O90" s="7">
        <f t="shared" si="31"/>
        <v>73054</v>
      </c>
      <c r="P90" s="10">
        <f>ROUND($C90+MIN($D90:$E90)*(1-SUMIFS(PrefFlows!$C:$C,PrefFlows!$A:$A,INDEX($D$1:$E$1,MATCH(MIN($D90:$E90),$D90:$E90,0)),PrefFlows!$B:$B,$B90)),2)</f>
        <v>37.119999999999997</v>
      </c>
      <c r="Q90" s="10">
        <f>ROUND(MAX($D90:$E90)+MIN($D90:$E90)*SUMIFS(PrefFlows!$C:$C,PrefFlows!$A:$A,INDEX($D$1:$E$1,MATCH(MIN($D90:$E90),$D90:$E90,0)),PrefFlows!$B:$B,$B90),2)</f>
        <v>48.07</v>
      </c>
      <c r="R90" s="10">
        <f t="shared" si="32"/>
        <v>1.87</v>
      </c>
      <c r="S90" s="10">
        <f t="shared" si="33"/>
        <v>3.49</v>
      </c>
      <c r="T90" s="7">
        <f t="shared" si="34"/>
        <v>9.4499999999999993</v>
      </c>
      <c r="U90" s="9">
        <f t="shared" si="35"/>
        <v>10.95</v>
      </c>
      <c r="V90" s="10">
        <f>ROUND($R90*SUMIFS(PrefFlows!$C:$C,PrefFlows!$A:$A,$R$1,PrefFlows!$B:$B,$B90)+$S90*SUMIFS(PrefFlows!$C:$C,PrefFlows!$A:$A,$S$1,PrefFlows!$B:$B,$B90)+$T90*SUMIFS(PrefFlows!$C:$C,PrefFlows!$A:$A,$T$1,PrefFlows!$B:$B,$B90),2)</f>
        <v>6.58</v>
      </c>
      <c r="W90" s="7">
        <f>ROUND($R90*(1-SUMIFS(PrefFlows!$C:$C,PrefFlows!$A:$A,$R$1,PrefFlows!$B:$B,$B90))+$S90*(1-SUMIFS(PrefFlows!$C:$C,PrefFlows!$A:$A,$S$1,PrefFlows!$B:$B,$B90))+$T90*(1-SUMIFS(PrefFlows!$C:$C,PrefFlows!$A:$A,$T$1,PrefFlows!$B:$B,$B90)),2)</f>
        <v>8.23</v>
      </c>
      <c r="X90" s="10">
        <f t="shared" si="36"/>
        <v>7.19</v>
      </c>
      <c r="Y90" s="7">
        <f t="shared" si="37"/>
        <v>7.62</v>
      </c>
      <c r="Z90" s="10">
        <f t="shared" si="38"/>
        <v>0.44429999999999997</v>
      </c>
      <c r="AA90" s="10">
        <f t="shared" si="39"/>
        <v>0.48549999999999999</v>
      </c>
      <c r="AB90" s="10">
        <f t="shared" si="40"/>
        <v>4.1200000000000001E-2</v>
      </c>
      <c r="AC90" s="7">
        <v>2.8670168120099801E-2</v>
      </c>
      <c r="AD90" s="10">
        <f>ROUND(R90*(1-(Exhaust!$B$2+AC90)),2)</f>
        <v>0.77</v>
      </c>
      <c r="AE90" s="10">
        <f>ROUND(S90*(1-(Exhaust!$B$3+$AC90)),2)</f>
        <v>1.99</v>
      </c>
      <c r="AF90" s="7">
        <f>ROUND(T90*(1-(Exhaust!$B$4+$AC90)),2)</f>
        <v>4.45</v>
      </c>
      <c r="AG90" s="10">
        <f>ROUND($AD90*(SUMIFS(PrefFlows!$C:$C,PrefFlows!$A:$A,$R$1,PrefFlows!$B:$B,$B90)+$AB90)+$AE90*(SUMIFS(PrefFlows!$C:$C,PrefFlows!$A:$A,$S$1,PrefFlows!$B:$B,$B90)+$AB90)+$AF90*(SUMIFS(PrefFlows!$C:$C,PrefFlows!$A:$A,$T$1,PrefFlows!$B:$B,$B90)+$AB90),2)</f>
        <v>3.4</v>
      </c>
      <c r="AH90" s="7">
        <f>ROUND($AD90*(1-(SUMIFS(PrefFlows!$C:$C,PrefFlows!$A:$A,$R$1,PrefFlows!$B:$B,$B90)+$AB90))+$AE90*(1-(SUMIFS(PrefFlows!$C:$C,PrefFlows!$A:$A,$S$1,PrefFlows!$B:$B,$B90)+$AB90))+$AF90*(1-(SUMIFS(PrefFlows!$C:$C,PrefFlows!$A:$A,$T$1,PrefFlows!$B:$B,$B90)+$AB90)),2)</f>
        <v>3.81</v>
      </c>
      <c r="AI90" s="10">
        <f t="shared" si="41"/>
        <v>51.47</v>
      </c>
      <c r="AJ90" s="7">
        <f t="shared" si="42"/>
        <v>40.93</v>
      </c>
      <c r="AK90" s="10">
        <f t="shared" si="43"/>
        <v>55.7</v>
      </c>
      <c r="AL90" s="7">
        <f t="shared" si="43"/>
        <v>44.3</v>
      </c>
      <c r="AM90" s="1">
        <f t="shared" si="26"/>
        <v>5.26</v>
      </c>
      <c r="AN90" s="1">
        <f t="shared" si="27"/>
        <v>5.77</v>
      </c>
      <c r="AO90" s="7">
        <f t="shared" si="28"/>
        <v>5.7</v>
      </c>
      <c r="AP90" s="1" t="b">
        <f t="shared" si="44"/>
        <v>0</v>
      </c>
      <c r="AQ90" s="1" t="b">
        <f t="shared" si="44"/>
        <v>0</v>
      </c>
      <c r="AR90" s="7" t="b">
        <f t="shared" si="45"/>
        <v>0</v>
      </c>
      <c r="AS90" s="1">
        <f t="shared" si="46"/>
        <v>0.50999999999999979</v>
      </c>
      <c r="AT90" s="1">
        <f t="shared" si="46"/>
        <v>0.44000000000000039</v>
      </c>
      <c r="AU90" s="7">
        <f t="shared" si="47"/>
        <v>6.9999999999999396E-2</v>
      </c>
      <c r="AV90" s="1">
        <f>ROUND(IF(B90="NSW",N90*Meta!$B$6,N90),1)</f>
        <v>3939.6</v>
      </c>
      <c r="AW90" s="7">
        <f t="shared" si="29"/>
        <v>70698.2</v>
      </c>
    </row>
    <row r="91" spans="1:49" x14ac:dyDescent="0.55000000000000004">
      <c r="A91" s="11" t="s">
        <v>103</v>
      </c>
      <c r="B91" s="7" t="s">
        <v>104</v>
      </c>
      <c r="C91" s="10">
        <v>50.66</v>
      </c>
      <c r="D91" s="10">
        <v>38.36</v>
      </c>
      <c r="E91" s="10">
        <v>0</v>
      </c>
      <c r="F91" s="10">
        <v>2.93</v>
      </c>
      <c r="G91" s="10">
        <v>0</v>
      </c>
      <c r="H91" s="10">
        <v>5.58</v>
      </c>
      <c r="I91" s="10">
        <v>2.4700000000000002</v>
      </c>
      <c r="J91" s="7">
        <f t="shared" si="30"/>
        <v>5.4</v>
      </c>
      <c r="K91" s="10">
        <v>42.34</v>
      </c>
      <c r="L91" s="7">
        <v>57.66</v>
      </c>
      <c r="M91" s="10">
        <v>45234</v>
      </c>
      <c r="N91" s="10">
        <v>2235</v>
      </c>
      <c r="O91" s="7">
        <f t="shared" si="31"/>
        <v>42999</v>
      </c>
      <c r="P91" s="10">
        <f>ROUND($C91+MIN($D91:$E91)*(1-SUMIFS(PrefFlows!$C:$C,PrefFlows!$A:$A,INDEX($D$1:$E$1,MATCH(MIN($D91:$E91),$D91:$E91,0)),PrefFlows!$B:$B,$B91)),2)</f>
        <v>50.66</v>
      </c>
      <c r="Q91" s="10">
        <f>ROUND(MAX($D91:$E91)+MIN($D91:$E91)*SUMIFS(PrefFlows!$C:$C,PrefFlows!$A:$A,INDEX($D$1:$E$1,MATCH(MIN($D91:$E91),$D91:$E91,0)),PrefFlows!$B:$B,$B91),2)</f>
        <v>38.36</v>
      </c>
      <c r="R91" s="10">
        <f t="shared" si="32"/>
        <v>0</v>
      </c>
      <c r="S91" s="10">
        <f t="shared" si="33"/>
        <v>5.58</v>
      </c>
      <c r="T91" s="7">
        <f t="shared" si="34"/>
        <v>5.4</v>
      </c>
      <c r="U91" s="9">
        <f t="shared" si="35"/>
        <v>-12.3</v>
      </c>
      <c r="V91" s="10">
        <f>ROUND($R91*SUMIFS(PrefFlows!$C:$C,PrefFlows!$A:$A,$R$1,PrefFlows!$B:$B,$B91)+$S91*SUMIFS(PrefFlows!$C:$C,PrefFlows!$A:$A,$S$1,PrefFlows!$B:$B,$B91)+$T91*SUMIFS(PrefFlows!$C:$C,PrefFlows!$A:$A,$T$1,PrefFlows!$B:$B,$B91),2)</f>
        <v>3.93</v>
      </c>
      <c r="W91" s="7">
        <f>ROUND($R91*(1-SUMIFS(PrefFlows!$C:$C,PrefFlows!$A:$A,$R$1,PrefFlows!$B:$B,$B91))+$S91*(1-SUMIFS(PrefFlows!$C:$C,PrefFlows!$A:$A,$S$1,PrefFlows!$B:$B,$B91))+$T91*(1-SUMIFS(PrefFlows!$C:$C,PrefFlows!$A:$A,$T$1,PrefFlows!$B:$B,$B91)),2)</f>
        <v>7.05</v>
      </c>
      <c r="X91" s="10">
        <f t="shared" si="36"/>
        <v>3.98</v>
      </c>
      <c r="Y91" s="7">
        <f t="shared" si="37"/>
        <v>7</v>
      </c>
      <c r="Z91" s="10">
        <f t="shared" si="38"/>
        <v>0.3579</v>
      </c>
      <c r="AA91" s="10">
        <f t="shared" si="39"/>
        <v>0.36249999999999999</v>
      </c>
      <c r="AB91" s="10">
        <f t="shared" si="40"/>
        <v>4.5999999999999999E-3</v>
      </c>
      <c r="AC91" s="7">
        <v>-5.6395713391071703E-2</v>
      </c>
      <c r="AD91" s="10">
        <f>ROUND(R91*(1-(Exhaust!$B$2+AC91)),2)</f>
        <v>0</v>
      </c>
      <c r="AE91" s="10">
        <f>ROUND(S91*(1-(Exhaust!$B$3+$AC91)),2)</f>
        <v>3.66</v>
      </c>
      <c r="AF91" s="7">
        <f>ROUND(T91*(1-(Exhaust!$B$4+$AC91)),2)</f>
        <v>3</v>
      </c>
      <c r="AG91" s="10">
        <f>ROUND($AD91*(SUMIFS(PrefFlows!$C:$C,PrefFlows!$A:$A,$R$1,PrefFlows!$B:$B,$B91)+$AB91)+$AE91*(SUMIFS(PrefFlows!$C:$C,PrefFlows!$A:$A,$S$1,PrefFlows!$B:$B,$B91)+$AB91)+$AF91*(SUMIFS(PrefFlows!$C:$C,PrefFlows!$A:$A,$T$1,PrefFlows!$B:$B,$B91)+$AB91),2)</f>
        <v>2.33</v>
      </c>
      <c r="AH91" s="7">
        <f>ROUND($AD91*(1-(SUMIFS(PrefFlows!$C:$C,PrefFlows!$A:$A,$R$1,PrefFlows!$B:$B,$B91)+$AB91))+$AE91*(1-(SUMIFS(PrefFlows!$C:$C,PrefFlows!$A:$A,$S$1,PrefFlows!$B:$B,$B91)+$AB91))+$AF91*(1-(SUMIFS(PrefFlows!$C:$C,PrefFlows!$A:$A,$T$1,PrefFlows!$B:$B,$B91)+$AB91)),2)</f>
        <v>4.33</v>
      </c>
      <c r="AI91" s="10">
        <f t="shared" si="41"/>
        <v>40.69</v>
      </c>
      <c r="AJ91" s="7">
        <f t="shared" si="42"/>
        <v>54.99</v>
      </c>
      <c r="AK91" s="10">
        <f t="shared" si="43"/>
        <v>42.53</v>
      </c>
      <c r="AL91" s="7">
        <f t="shared" si="43"/>
        <v>57.47</v>
      </c>
      <c r="AM91" s="1">
        <f t="shared" si="26"/>
        <v>-7.66</v>
      </c>
      <c r="AN91" s="1">
        <f t="shared" si="27"/>
        <v>-7.32</v>
      </c>
      <c r="AO91" s="7">
        <f t="shared" si="28"/>
        <v>-7.47</v>
      </c>
      <c r="AP91" s="1" t="b">
        <f t="shared" si="44"/>
        <v>0</v>
      </c>
      <c r="AQ91" s="1" t="b">
        <f t="shared" si="44"/>
        <v>0</v>
      </c>
      <c r="AR91" s="7" t="b">
        <f t="shared" si="45"/>
        <v>0</v>
      </c>
      <c r="AS91" s="1">
        <f t="shared" si="46"/>
        <v>0.33999999999999986</v>
      </c>
      <c r="AT91" s="1">
        <f t="shared" si="46"/>
        <v>0.19000000000000039</v>
      </c>
      <c r="AU91" s="7">
        <f t="shared" si="47"/>
        <v>0.14999999999999947</v>
      </c>
      <c r="AV91" s="1">
        <f>ROUND(IF(B91="NSW",N91*Meta!$B$6,N91),1)</f>
        <v>2235</v>
      </c>
      <c r="AW91" s="7">
        <f t="shared" si="29"/>
        <v>41965.8</v>
      </c>
    </row>
    <row r="92" spans="1:49" x14ac:dyDescent="0.55000000000000004">
      <c r="A92" s="11" t="s">
        <v>105</v>
      </c>
      <c r="B92" s="7" t="s">
        <v>23</v>
      </c>
      <c r="C92" s="10">
        <v>35.729999999999997</v>
      </c>
      <c r="D92" s="10">
        <v>51.87</v>
      </c>
      <c r="E92" s="10">
        <v>0</v>
      </c>
      <c r="F92" s="10">
        <v>1.72</v>
      </c>
      <c r="G92" s="10">
        <v>3.88</v>
      </c>
      <c r="H92" s="10">
        <v>3.98</v>
      </c>
      <c r="I92" s="10">
        <v>6.7</v>
      </c>
      <c r="J92" s="7">
        <f t="shared" si="30"/>
        <v>4.54</v>
      </c>
      <c r="K92" s="10">
        <v>57.66</v>
      </c>
      <c r="L92" s="7">
        <v>42.34</v>
      </c>
      <c r="M92" s="10">
        <v>82420</v>
      </c>
      <c r="N92" s="10">
        <v>4646</v>
      </c>
      <c r="O92" s="7">
        <f t="shared" si="31"/>
        <v>77774</v>
      </c>
      <c r="P92" s="10">
        <f>ROUND($C92+MIN($D92:$E92)*(1-SUMIFS(PrefFlows!$C:$C,PrefFlows!$A:$A,INDEX($D$1:$E$1,MATCH(MIN($D92:$E92),$D92:$E92,0)),PrefFlows!$B:$B,$B92)),2)</f>
        <v>35.729999999999997</v>
      </c>
      <c r="Q92" s="10">
        <f>ROUND(MAX($D92:$E92)+MIN($D92:$E92)*SUMIFS(PrefFlows!$C:$C,PrefFlows!$A:$A,INDEX($D$1:$E$1,MATCH(MIN($D92:$E92),$D92:$E92,0)),PrefFlows!$B:$B,$B92),2)</f>
        <v>51.87</v>
      </c>
      <c r="R92" s="10">
        <f t="shared" si="32"/>
        <v>3.88</v>
      </c>
      <c r="S92" s="10">
        <f t="shared" si="33"/>
        <v>3.98</v>
      </c>
      <c r="T92" s="7">
        <f t="shared" si="34"/>
        <v>4.54</v>
      </c>
      <c r="U92" s="9">
        <f t="shared" si="35"/>
        <v>16.14</v>
      </c>
      <c r="V92" s="10">
        <f>ROUND($R92*SUMIFS(PrefFlows!$C:$C,PrefFlows!$A:$A,$R$1,PrefFlows!$B:$B,$B92)+$S92*SUMIFS(PrefFlows!$C:$C,PrefFlows!$A:$A,$S$1,PrefFlows!$B:$B,$B92)+$T92*SUMIFS(PrefFlows!$C:$C,PrefFlows!$A:$A,$T$1,PrefFlows!$B:$B,$B92),2)</f>
        <v>5.62</v>
      </c>
      <c r="W92" s="7">
        <f>ROUND($R92*(1-SUMIFS(PrefFlows!$C:$C,PrefFlows!$A:$A,$R$1,PrefFlows!$B:$B,$B92))+$S92*(1-SUMIFS(PrefFlows!$C:$C,PrefFlows!$A:$A,$S$1,PrefFlows!$B:$B,$B92))+$T92*(1-SUMIFS(PrefFlows!$C:$C,PrefFlows!$A:$A,$T$1,PrefFlows!$B:$B,$B92)),2)</f>
        <v>6.78</v>
      </c>
      <c r="X92" s="10">
        <f t="shared" si="36"/>
        <v>5.79</v>
      </c>
      <c r="Y92" s="7">
        <f t="shared" si="37"/>
        <v>6.61</v>
      </c>
      <c r="Z92" s="10">
        <f t="shared" si="38"/>
        <v>0.45319999999999999</v>
      </c>
      <c r="AA92" s="10">
        <f t="shared" si="39"/>
        <v>0.46689999999999998</v>
      </c>
      <c r="AB92" s="10">
        <f t="shared" si="40"/>
        <v>1.37E-2</v>
      </c>
      <c r="AC92" s="7">
        <v>7.3864860982706407E-2</v>
      </c>
      <c r="AD92" s="10">
        <f>ROUND(R92*(1-(Exhaust!$B$2+AC92)),2)</f>
        <v>1.42</v>
      </c>
      <c r="AE92" s="10">
        <f>ROUND(S92*(1-(Exhaust!$B$3+$AC92)),2)</f>
        <v>2.09</v>
      </c>
      <c r="AF92" s="7">
        <f>ROUND(T92*(1-(Exhaust!$B$4+$AC92)),2)</f>
        <v>1.93</v>
      </c>
      <c r="AG92" s="10">
        <f>ROUND($AD92*(SUMIFS(PrefFlows!$C:$C,PrefFlows!$A:$A,$R$1,PrefFlows!$B:$B,$B92)+$AB92)+$AE92*(SUMIFS(PrefFlows!$C:$C,PrefFlows!$A:$A,$S$1,PrefFlows!$B:$B,$B92)+$AB92)+$AF92*(SUMIFS(PrefFlows!$C:$C,PrefFlows!$A:$A,$T$1,PrefFlows!$B:$B,$B92)+$AB92),2)</f>
        <v>2.4300000000000002</v>
      </c>
      <c r="AH92" s="7">
        <f>ROUND($AD92*(1-(SUMIFS(PrefFlows!$C:$C,PrefFlows!$A:$A,$R$1,PrefFlows!$B:$B,$B92)+$AB92))+$AE92*(1-(SUMIFS(PrefFlows!$C:$C,PrefFlows!$A:$A,$S$1,PrefFlows!$B:$B,$B92)+$AB92))+$AF92*(1-(SUMIFS(PrefFlows!$C:$C,PrefFlows!$A:$A,$T$1,PrefFlows!$B:$B,$B92)+$AB92)),2)</f>
        <v>3.01</v>
      </c>
      <c r="AI92" s="10">
        <f t="shared" si="41"/>
        <v>54.3</v>
      </c>
      <c r="AJ92" s="7">
        <f t="shared" si="42"/>
        <v>38.74</v>
      </c>
      <c r="AK92" s="10">
        <f t="shared" si="43"/>
        <v>58.36</v>
      </c>
      <c r="AL92" s="7">
        <f t="shared" si="43"/>
        <v>41.64</v>
      </c>
      <c r="AM92" s="1">
        <f t="shared" si="26"/>
        <v>7.66</v>
      </c>
      <c r="AN92" s="1">
        <f t="shared" si="27"/>
        <v>8.35</v>
      </c>
      <c r="AO92" s="7">
        <f t="shared" si="28"/>
        <v>8.36</v>
      </c>
      <c r="AP92" s="1" t="b">
        <f t="shared" si="44"/>
        <v>0</v>
      </c>
      <c r="AQ92" s="1" t="b">
        <f t="shared" si="44"/>
        <v>0</v>
      </c>
      <c r="AR92" s="7" t="b">
        <f t="shared" si="45"/>
        <v>0</v>
      </c>
      <c r="AS92" s="1">
        <f t="shared" si="46"/>
        <v>0.6899999999999995</v>
      </c>
      <c r="AT92" s="1">
        <f t="shared" si="46"/>
        <v>0.69999999999999929</v>
      </c>
      <c r="AU92" s="7">
        <f t="shared" si="47"/>
        <v>9.9999999999997868E-3</v>
      </c>
      <c r="AV92" s="1">
        <f>ROUND(IF(B92="NSW",N92*Meta!$B$6,N92),1)</f>
        <v>4646</v>
      </c>
      <c r="AW92" s="7">
        <f t="shared" si="29"/>
        <v>74027.399999999994</v>
      </c>
    </row>
    <row r="93" spans="1:49" x14ac:dyDescent="0.55000000000000004">
      <c r="A93" s="11" t="s">
        <v>106</v>
      </c>
      <c r="B93" s="7" t="s">
        <v>13</v>
      </c>
      <c r="C93" s="10">
        <v>42.89</v>
      </c>
      <c r="D93" s="10">
        <v>42.73</v>
      </c>
      <c r="E93" s="10">
        <v>0</v>
      </c>
      <c r="F93" s="10">
        <v>1.33</v>
      </c>
      <c r="G93" s="10">
        <v>0.89</v>
      </c>
      <c r="H93" s="10">
        <v>9.24</v>
      </c>
      <c r="I93" s="10">
        <v>3.81</v>
      </c>
      <c r="J93" s="7">
        <f t="shared" si="30"/>
        <v>4.25</v>
      </c>
      <c r="K93" s="10">
        <v>46.7</v>
      </c>
      <c r="L93" s="7">
        <v>53.3</v>
      </c>
      <c r="M93" s="10">
        <v>81769</v>
      </c>
      <c r="N93" s="10">
        <v>5354</v>
      </c>
      <c r="O93" s="7">
        <f t="shared" si="31"/>
        <v>76415</v>
      </c>
      <c r="P93" s="10">
        <f>ROUND($C93+MIN($D93:$E93)*(1-SUMIFS(PrefFlows!$C:$C,PrefFlows!$A:$A,INDEX($D$1:$E$1,MATCH(MIN($D93:$E93),$D93:$E93,0)),PrefFlows!$B:$B,$B93)),2)</f>
        <v>42.89</v>
      </c>
      <c r="Q93" s="10">
        <f>ROUND(MAX($D93:$E93)+MIN($D93:$E93)*SUMIFS(PrefFlows!$C:$C,PrefFlows!$A:$A,INDEX($D$1:$E$1,MATCH(MIN($D93:$E93),$D93:$E93,0)),PrefFlows!$B:$B,$B93),2)</f>
        <v>42.73</v>
      </c>
      <c r="R93" s="10">
        <f t="shared" si="32"/>
        <v>0.89</v>
      </c>
      <c r="S93" s="10">
        <f t="shared" si="33"/>
        <v>9.24</v>
      </c>
      <c r="T93" s="7">
        <f t="shared" si="34"/>
        <v>4.25</v>
      </c>
      <c r="U93" s="9">
        <f t="shared" si="35"/>
        <v>-0.16</v>
      </c>
      <c r="V93" s="10">
        <f>ROUND($R93*SUMIFS(PrefFlows!$C:$C,PrefFlows!$A:$A,$R$1,PrefFlows!$B:$B,$B93)+$S93*SUMIFS(PrefFlows!$C:$C,PrefFlows!$A:$A,$S$1,PrefFlows!$B:$B,$B93)+$T93*SUMIFS(PrefFlows!$C:$C,PrefFlows!$A:$A,$T$1,PrefFlows!$B:$B,$B93),2)</f>
        <v>4.34</v>
      </c>
      <c r="W93" s="7">
        <f>ROUND($R93*(1-SUMIFS(PrefFlows!$C:$C,PrefFlows!$A:$A,$R$1,PrefFlows!$B:$B,$B93))+$S93*(1-SUMIFS(PrefFlows!$C:$C,PrefFlows!$A:$A,$S$1,PrefFlows!$B:$B,$B93))+$T93*(1-SUMIFS(PrefFlows!$C:$C,PrefFlows!$A:$A,$T$1,PrefFlows!$B:$B,$B93)),2)</f>
        <v>10.039999999999999</v>
      </c>
      <c r="X93" s="10">
        <f t="shared" si="36"/>
        <v>3.97</v>
      </c>
      <c r="Y93" s="7">
        <f t="shared" si="37"/>
        <v>10.41</v>
      </c>
      <c r="Z93" s="10">
        <f t="shared" si="38"/>
        <v>0.30180000000000001</v>
      </c>
      <c r="AA93" s="10">
        <f t="shared" si="39"/>
        <v>0.27610000000000001</v>
      </c>
      <c r="AB93" s="10">
        <f t="shared" si="40"/>
        <v>-2.5700000000000001E-2</v>
      </c>
      <c r="AC93" s="7">
        <v>5.4761455360576902E-2</v>
      </c>
      <c r="AD93" s="10">
        <f>ROUND(R93*(1-(Exhaust!$B$2+AC93)),2)</f>
        <v>0.34</v>
      </c>
      <c r="AE93" s="10">
        <f>ROUND(S93*(1-(Exhaust!$B$3+$AC93)),2)</f>
        <v>5.04</v>
      </c>
      <c r="AF93" s="7">
        <f>ROUND(T93*(1-(Exhaust!$B$4+$AC93)),2)</f>
        <v>1.89</v>
      </c>
      <c r="AG93" s="10">
        <f>ROUND($AD93*(SUMIFS(PrefFlows!$C:$C,PrefFlows!$A:$A,$R$1,PrefFlows!$B:$B,$B93)+$AB93)+$AE93*(SUMIFS(PrefFlows!$C:$C,PrefFlows!$A:$A,$S$1,PrefFlows!$B:$B,$B93)+$AB93)+$AF93*(SUMIFS(PrefFlows!$C:$C,PrefFlows!$A:$A,$T$1,PrefFlows!$B:$B,$B93)+$AB93),2)</f>
        <v>1.88</v>
      </c>
      <c r="AH93" s="7">
        <f>ROUND($AD93*(1-(SUMIFS(PrefFlows!$C:$C,PrefFlows!$A:$A,$R$1,PrefFlows!$B:$B,$B93)+$AB93))+$AE93*(1-(SUMIFS(PrefFlows!$C:$C,PrefFlows!$A:$A,$S$1,PrefFlows!$B:$B,$B93)+$AB93))+$AF93*(1-(SUMIFS(PrefFlows!$C:$C,PrefFlows!$A:$A,$T$1,PrefFlows!$B:$B,$B93)+$AB93)),2)</f>
        <v>5.39</v>
      </c>
      <c r="AI93" s="10">
        <f t="shared" si="41"/>
        <v>44.61</v>
      </c>
      <c r="AJ93" s="7">
        <f t="shared" si="42"/>
        <v>48.28</v>
      </c>
      <c r="AK93" s="10">
        <f t="shared" si="43"/>
        <v>48.02</v>
      </c>
      <c r="AL93" s="7">
        <f t="shared" si="43"/>
        <v>51.98</v>
      </c>
      <c r="AM93" s="1">
        <f t="shared" si="26"/>
        <v>-3.3</v>
      </c>
      <c r="AN93" s="1">
        <f t="shared" si="27"/>
        <v>-1.88</v>
      </c>
      <c r="AO93" s="7">
        <f t="shared" si="28"/>
        <v>-1.98</v>
      </c>
      <c r="AP93" s="1" t="b">
        <f t="shared" si="44"/>
        <v>0</v>
      </c>
      <c r="AQ93" s="1" t="b">
        <f t="shared" si="44"/>
        <v>0</v>
      </c>
      <c r="AR93" s="7" t="b">
        <f t="shared" si="45"/>
        <v>0</v>
      </c>
      <c r="AS93" s="1">
        <f t="shared" si="46"/>
        <v>1.42</v>
      </c>
      <c r="AT93" s="1">
        <f t="shared" si="46"/>
        <v>1.3199999999999998</v>
      </c>
      <c r="AU93" s="7">
        <f t="shared" si="47"/>
        <v>0.10000000000000009</v>
      </c>
      <c r="AV93" s="1">
        <f>ROUND(IF(B93="NSW",N93*Meta!$B$6,N93),1)</f>
        <v>3587.2</v>
      </c>
      <c r="AW93" s="7">
        <f t="shared" si="29"/>
        <v>73907.7</v>
      </c>
    </row>
    <row r="94" spans="1:49" x14ac:dyDescent="0.55000000000000004">
      <c r="A94" s="11" t="s">
        <v>107</v>
      </c>
      <c r="B94" s="7" t="s">
        <v>13</v>
      </c>
      <c r="C94" s="10">
        <v>26.77</v>
      </c>
      <c r="D94" s="10">
        <v>0</v>
      </c>
      <c r="E94" s="10">
        <v>56.31</v>
      </c>
      <c r="F94" s="10">
        <v>1.68</v>
      </c>
      <c r="G94" s="10">
        <v>3.65</v>
      </c>
      <c r="H94" s="10">
        <v>4.76</v>
      </c>
      <c r="I94" s="10">
        <v>10.48</v>
      </c>
      <c r="J94" s="7">
        <f t="shared" si="30"/>
        <v>8.51</v>
      </c>
      <c r="K94" s="10">
        <v>63.03</v>
      </c>
      <c r="L94" s="7">
        <v>36.97</v>
      </c>
      <c r="M94" s="10">
        <v>88143</v>
      </c>
      <c r="N94" s="10">
        <v>4749</v>
      </c>
      <c r="O94" s="7">
        <f t="shared" si="31"/>
        <v>83394</v>
      </c>
      <c r="P94" s="10">
        <f>ROUND($C94+MIN($D94:$E94)*(1-SUMIFS(PrefFlows!$C:$C,PrefFlows!$A:$A,INDEX($D$1:$E$1,MATCH(MIN($D94:$E94),$D94:$E94,0)),PrefFlows!$B:$B,$B94)),2)</f>
        <v>26.77</v>
      </c>
      <c r="Q94" s="10">
        <f>ROUND(MAX($D94:$E94)+MIN($D94:$E94)*SUMIFS(PrefFlows!$C:$C,PrefFlows!$A:$A,INDEX($D$1:$E$1,MATCH(MIN($D94:$E94),$D94:$E94,0)),PrefFlows!$B:$B,$B94),2)</f>
        <v>56.31</v>
      </c>
      <c r="R94" s="10">
        <f t="shared" si="32"/>
        <v>3.65</v>
      </c>
      <c r="S94" s="10">
        <f t="shared" si="33"/>
        <v>4.76</v>
      </c>
      <c r="T94" s="7">
        <f t="shared" si="34"/>
        <v>8.51</v>
      </c>
      <c r="U94" s="9">
        <f t="shared" si="35"/>
        <v>29.54</v>
      </c>
      <c r="V94" s="10">
        <f>ROUND($R94*SUMIFS(PrefFlows!$C:$C,PrefFlows!$A:$A,$R$1,PrefFlows!$B:$B,$B94)+$S94*SUMIFS(PrefFlows!$C:$C,PrefFlows!$A:$A,$S$1,PrefFlows!$B:$B,$B94)+$T94*SUMIFS(PrefFlows!$C:$C,PrefFlows!$A:$A,$T$1,PrefFlows!$B:$B,$B94),2)</f>
        <v>7.26</v>
      </c>
      <c r="W94" s="7">
        <f>ROUND($R94*(1-SUMIFS(PrefFlows!$C:$C,PrefFlows!$A:$A,$R$1,PrefFlows!$B:$B,$B94))+$S94*(1-SUMIFS(PrefFlows!$C:$C,PrefFlows!$A:$A,$S$1,PrefFlows!$B:$B,$B94))+$T94*(1-SUMIFS(PrefFlows!$C:$C,PrefFlows!$A:$A,$T$1,PrefFlows!$B:$B,$B94)),2)</f>
        <v>9.66</v>
      </c>
      <c r="X94" s="10">
        <f t="shared" si="36"/>
        <v>6.72</v>
      </c>
      <c r="Y94" s="7">
        <f t="shared" si="37"/>
        <v>10.199999999999999</v>
      </c>
      <c r="Z94" s="10">
        <f t="shared" si="38"/>
        <v>0.42909999999999998</v>
      </c>
      <c r="AA94" s="10">
        <f t="shared" si="39"/>
        <v>0.3972</v>
      </c>
      <c r="AB94" s="10">
        <f t="shared" si="40"/>
        <v>-3.1899999999999998E-2</v>
      </c>
      <c r="AC94" s="7">
        <v>3.7158356613028E-2</v>
      </c>
      <c r="AD94" s="10">
        <f>ROUND(R94*(1-(Exhaust!$B$2+AC94)),2)</f>
        <v>1.47</v>
      </c>
      <c r="AE94" s="10">
        <f>ROUND(S94*(1-(Exhaust!$B$3+$AC94)),2)</f>
        <v>2.68</v>
      </c>
      <c r="AF94" s="7">
        <f>ROUND(T94*(1-(Exhaust!$B$4+$AC94)),2)</f>
        <v>3.94</v>
      </c>
      <c r="AG94" s="10">
        <f>ROUND($AD94*(SUMIFS(PrefFlows!$C:$C,PrefFlows!$A:$A,$R$1,PrefFlows!$B:$B,$B94)+$AB94)+$AE94*(SUMIFS(PrefFlows!$C:$C,PrefFlows!$A:$A,$S$1,PrefFlows!$B:$B,$B94)+$AB94)+$AF94*(SUMIFS(PrefFlows!$C:$C,PrefFlows!$A:$A,$T$1,PrefFlows!$B:$B,$B94)+$AB94),2)</f>
        <v>3.07</v>
      </c>
      <c r="AH94" s="7">
        <f>ROUND($AD94*(1-(SUMIFS(PrefFlows!$C:$C,PrefFlows!$A:$A,$R$1,PrefFlows!$B:$B,$B94)+$AB94))+$AE94*(1-(SUMIFS(PrefFlows!$C:$C,PrefFlows!$A:$A,$S$1,PrefFlows!$B:$B,$B94)+$AB94))+$AF94*(1-(SUMIFS(PrefFlows!$C:$C,PrefFlows!$A:$A,$T$1,PrefFlows!$B:$B,$B94)+$AB94)),2)</f>
        <v>5.0199999999999996</v>
      </c>
      <c r="AI94" s="10">
        <f t="shared" si="41"/>
        <v>59.38</v>
      </c>
      <c r="AJ94" s="7">
        <f t="shared" si="42"/>
        <v>31.79</v>
      </c>
      <c r="AK94" s="10">
        <f t="shared" si="43"/>
        <v>65.13</v>
      </c>
      <c r="AL94" s="7">
        <f t="shared" si="43"/>
        <v>34.869999999999997</v>
      </c>
      <c r="AM94" s="1">
        <f t="shared" si="26"/>
        <v>13.03</v>
      </c>
      <c r="AN94" s="1">
        <f t="shared" si="27"/>
        <v>15.09</v>
      </c>
      <c r="AO94" s="7">
        <f t="shared" si="28"/>
        <v>15.13</v>
      </c>
      <c r="AP94" s="1" t="b">
        <f t="shared" si="44"/>
        <v>0</v>
      </c>
      <c r="AQ94" s="1" t="b">
        <f t="shared" si="44"/>
        <v>0</v>
      </c>
      <c r="AR94" s="7" t="b">
        <f t="shared" si="45"/>
        <v>0</v>
      </c>
      <c r="AS94" s="1">
        <f t="shared" si="46"/>
        <v>2.0600000000000005</v>
      </c>
      <c r="AT94" s="1">
        <f t="shared" si="46"/>
        <v>2.1000000000000014</v>
      </c>
      <c r="AU94" s="7">
        <f t="shared" si="47"/>
        <v>4.0000000000000924E-2</v>
      </c>
      <c r="AV94" s="1">
        <f>ROUND(IF(B94="NSW",N94*Meta!$B$6,N94),1)</f>
        <v>3181.8</v>
      </c>
      <c r="AW94" s="7">
        <f t="shared" si="29"/>
        <v>78577.399999999994</v>
      </c>
    </row>
    <row r="95" spans="1:49" x14ac:dyDescent="0.55000000000000004">
      <c r="A95" s="11" t="s">
        <v>108</v>
      </c>
      <c r="B95" s="7" t="s">
        <v>17</v>
      </c>
      <c r="C95" s="10">
        <v>44.56</v>
      </c>
      <c r="D95" s="10">
        <v>42.33</v>
      </c>
      <c r="E95" s="10">
        <v>0</v>
      </c>
      <c r="F95" s="10">
        <v>0</v>
      </c>
      <c r="G95" s="10">
        <v>0</v>
      </c>
      <c r="H95" s="10">
        <v>9.9499999999999993</v>
      </c>
      <c r="I95" s="10">
        <v>3.16</v>
      </c>
      <c r="J95" s="7">
        <f t="shared" si="30"/>
        <v>3.16</v>
      </c>
      <c r="K95" s="10">
        <v>46.32</v>
      </c>
      <c r="L95" s="7">
        <v>53.68</v>
      </c>
      <c r="M95" s="10">
        <v>63078</v>
      </c>
      <c r="N95" s="10">
        <v>2494</v>
      </c>
      <c r="O95" s="7">
        <f t="shared" si="31"/>
        <v>60584</v>
      </c>
      <c r="P95" s="10">
        <f>ROUND($C95+MIN($D95:$E95)*(1-SUMIFS(PrefFlows!$C:$C,PrefFlows!$A:$A,INDEX($D$1:$E$1,MATCH(MIN($D95:$E95),$D95:$E95,0)),PrefFlows!$B:$B,$B95)),2)</f>
        <v>44.56</v>
      </c>
      <c r="Q95" s="10">
        <f>ROUND(MAX($D95:$E95)+MIN($D95:$E95)*SUMIFS(PrefFlows!$C:$C,PrefFlows!$A:$A,INDEX($D$1:$E$1,MATCH(MIN($D95:$E95),$D95:$E95,0)),PrefFlows!$B:$B,$B95),2)</f>
        <v>42.33</v>
      </c>
      <c r="R95" s="10">
        <f t="shared" si="32"/>
        <v>0</v>
      </c>
      <c r="S95" s="10">
        <f t="shared" si="33"/>
        <v>9.9499999999999993</v>
      </c>
      <c r="T95" s="7">
        <f t="shared" si="34"/>
        <v>3.16</v>
      </c>
      <c r="U95" s="9">
        <f t="shared" si="35"/>
        <v>-2.23</v>
      </c>
      <c r="V95" s="10">
        <f>ROUND($R95*SUMIFS(PrefFlows!$C:$C,PrefFlows!$A:$A,$R$1,PrefFlows!$B:$B,$B95)+$S95*SUMIFS(PrefFlows!$C:$C,PrefFlows!$A:$A,$S$1,PrefFlows!$B:$B,$B95)+$T95*SUMIFS(PrefFlows!$C:$C,PrefFlows!$A:$A,$T$1,PrefFlows!$B:$B,$B95),2)</f>
        <v>3.6</v>
      </c>
      <c r="W95" s="7">
        <f>ROUND($R95*(1-SUMIFS(PrefFlows!$C:$C,PrefFlows!$A:$A,$R$1,PrefFlows!$B:$B,$B95))+$S95*(1-SUMIFS(PrefFlows!$C:$C,PrefFlows!$A:$A,$S$1,PrefFlows!$B:$B,$B95))+$T95*(1-SUMIFS(PrefFlows!$C:$C,PrefFlows!$A:$A,$T$1,PrefFlows!$B:$B,$B95)),2)</f>
        <v>9.51</v>
      </c>
      <c r="X95" s="10">
        <f t="shared" si="36"/>
        <v>3.99</v>
      </c>
      <c r="Y95" s="7">
        <f t="shared" si="37"/>
        <v>9.1199999999999992</v>
      </c>
      <c r="Z95" s="10">
        <f t="shared" si="38"/>
        <v>0.27460000000000001</v>
      </c>
      <c r="AA95" s="10">
        <f t="shared" si="39"/>
        <v>0.30430000000000001</v>
      </c>
      <c r="AB95" s="10">
        <f t="shared" si="40"/>
        <v>2.9700000000000001E-2</v>
      </c>
      <c r="AC95" s="7">
        <v>5.3952262357815299E-2</v>
      </c>
      <c r="AD95" s="10">
        <f>ROUND(R95*(1-(Exhaust!$B$2+AC95)),2)</f>
        <v>0</v>
      </c>
      <c r="AE95" s="10">
        <f>ROUND(S95*(1-(Exhaust!$B$3+$AC95)),2)</f>
        <v>5.43</v>
      </c>
      <c r="AF95" s="7">
        <f>ROUND(T95*(1-(Exhaust!$B$4+$AC95)),2)</f>
        <v>1.41</v>
      </c>
      <c r="AG95" s="10">
        <f>ROUND($AD95*(SUMIFS(PrefFlows!$C:$C,PrefFlows!$A:$A,$R$1,PrefFlows!$B:$B,$B95)+$AB95)+$AE95*(SUMIFS(PrefFlows!$C:$C,PrefFlows!$A:$A,$S$1,PrefFlows!$B:$B,$B95)+$AB95)+$AF95*(SUMIFS(PrefFlows!$C:$C,PrefFlows!$A:$A,$T$1,PrefFlows!$B:$B,$B95)+$AB95),2)</f>
        <v>2</v>
      </c>
      <c r="AH95" s="7">
        <f>ROUND($AD95*(1-(SUMIFS(PrefFlows!$C:$C,PrefFlows!$A:$A,$R$1,PrefFlows!$B:$B,$B95)+$AB95))+$AE95*(1-(SUMIFS(PrefFlows!$C:$C,PrefFlows!$A:$A,$S$1,PrefFlows!$B:$B,$B95)+$AB95))+$AF95*(1-(SUMIFS(PrefFlows!$C:$C,PrefFlows!$A:$A,$T$1,PrefFlows!$B:$B,$B95)+$AB95)),2)</f>
        <v>4.84</v>
      </c>
      <c r="AI95" s="10">
        <f t="shared" si="41"/>
        <v>44.33</v>
      </c>
      <c r="AJ95" s="7">
        <f t="shared" si="42"/>
        <v>49.4</v>
      </c>
      <c r="AK95" s="10">
        <f t="shared" si="43"/>
        <v>47.3</v>
      </c>
      <c r="AL95" s="7">
        <f t="shared" si="43"/>
        <v>52.7</v>
      </c>
      <c r="AM95" s="1">
        <f t="shared" si="26"/>
        <v>-3.68</v>
      </c>
      <c r="AN95" s="1">
        <f t="shared" si="27"/>
        <v>-2.61</v>
      </c>
      <c r="AO95" s="7">
        <f t="shared" si="28"/>
        <v>-2.7</v>
      </c>
      <c r="AP95" s="1" t="b">
        <f t="shared" si="44"/>
        <v>0</v>
      </c>
      <c r="AQ95" s="1" t="b">
        <f t="shared" si="44"/>
        <v>0</v>
      </c>
      <c r="AR95" s="7" t="b">
        <f t="shared" si="45"/>
        <v>0</v>
      </c>
      <c r="AS95" s="1">
        <f t="shared" si="46"/>
        <v>1.0700000000000003</v>
      </c>
      <c r="AT95" s="1">
        <f t="shared" si="46"/>
        <v>0.98</v>
      </c>
      <c r="AU95" s="7">
        <f t="shared" si="47"/>
        <v>9.0000000000000302E-2</v>
      </c>
      <c r="AV95" s="1">
        <f>ROUND(IF(B95="NSW",N95*Meta!$B$6,N95),1)</f>
        <v>2494</v>
      </c>
      <c r="AW95" s="7">
        <f t="shared" si="29"/>
        <v>57686.6</v>
      </c>
    </row>
    <row r="96" spans="1:49" x14ac:dyDescent="0.55000000000000004">
      <c r="A96" s="11" t="s">
        <v>109</v>
      </c>
      <c r="B96" s="7" t="s">
        <v>13</v>
      </c>
      <c r="C96" s="10">
        <v>33.090000000000003</v>
      </c>
      <c r="D96" s="10">
        <v>54.47</v>
      </c>
      <c r="E96" s="10">
        <v>0</v>
      </c>
      <c r="F96" s="10">
        <v>0.84</v>
      </c>
      <c r="G96" s="10">
        <v>1.7</v>
      </c>
      <c r="H96" s="10">
        <v>4.47</v>
      </c>
      <c r="I96" s="10">
        <v>7.13</v>
      </c>
      <c r="J96" s="7">
        <f t="shared" si="30"/>
        <v>6.27</v>
      </c>
      <c r="K96" s="10">
        <v>59.51</v>
      </c>
      <c r="L96" s="7">
        <v>40.49</v>
      </c>
      <c r="M96" s="10">
        <v>80198</v>
      </c>
      <c r="N96" s="10">
        <v>5907</v>
      </c>
      <c r="O96" s="7">
        <f t="shared" si="31"/>
        <v>74291</v>
      </c>
      <c r="P96" s="10">
        <f>ROUND($C96+MIN($D96:$E96)*(1-SUMIFS(PrefFlows!$C:$C,PrefFlows!$A:$A,INDEX($D$1:$E$1,MATCH(MIN($D96:$E96),$D96:$E96,0)),PrefFlows!$B:$B,$B96)),2)</f>
        <v>33.090000000000003</v>
      </c>
      <c r="Q96" s="10">
        <f>ROUND(MAX($D96:$E96)+MIN($D96:$E96)*SUMIFS(PrefFlows!$C:$C,PrefFlows!$A:$A,INDEX($D$1:$E$1,MATCH(MIN($D96:$E96),$D96:$E96,0)),PrefFlows!$B:$B,$B96),2)</f>
        <v>54.47</v>
      </c>
      <c r="R96" s="10">
        <f t="shared" si="32"/>
        <v>1.7</v>
      </c>
      <c r="S96" s="10">
        <f t="shared" si="33"/>
        <v>4.47</v>
      </c>
      <c r="T96" s="7">
        <f t="shared" si="34"/>
        <v>6.27</v>
      </c>
      <c r="U96" s="9">
        <f t="shared" si="35"/>
        <v>21.38</v>
      </c>
      <c r="V96" s="10">
        <f>ROUND($R96*SUMIFS(PrefFlows!$C:$C,PrefFlows!$A:$A,$R$1,PrefFlows!$B:$B,$B96)+$S96*SUMIFS(PrefFlows!$C:$C,PrefFlows!$A:$A,$S$1,PrefFlows!$B:$B,$B96)+$T96*SUMIFS(PrefFlows!$C:$C,PrefFlows!$A:$A,$T$1,PrefFlows!$B:$B,$B96),2)</f>
        <v>4.99</v>
      </c>
      <c r="W96" s="7">
        <f>ROUND($R96*(1-SUMIFS(PrefFlows!$C:$C,PrefFlows!$A:$A,$R$1,PrefFlows!$B:$B,$B96))+$S96*(1-SUMIFS(PrefFlows!$C:$C,PrefFlows!$A:$A,$S$1,PrefFlows!$B:$B,$B96))+$T96*(1-SUMIFS(PrefFlows!$C:$C,PrefFlows!$A:$A,$T$1,PrefFlows!$B:$B,$B96)),2)</f>
        <v>7.45</v>
      </c>
      <c r="X96" s="10">
        <f t="shared" si="36"/>
        <v>5.04</v>
      </c>
      <c r="Y96" s="7">
        <f t="shared" si="37"/>
        <v>7.4</v>
      </c>
      <c r="Z96" s="10">
        <f t="shared" si="38"/>
        <v>0.40110000000000001</v>
      </c>
      <c r="AA96" s="10">
        <f t="shared" si="39"/>
        <v>0.40510000000000002</v>
      </c>
      <c r="AB96" s="10">
        <f t="shared" si="40"/>
        <v>4.0000000000000001E-3</v>
      </c>
      <c r="AC96" s="7">
        <v>7.2051686054339606E-2</v>
      </c>
      <c r="AD96" s="10">
        <f>ROUND(R96*(1-(Exhaust!$B$2+AC96)),2)</f>
        <v>0.63</v>
      </c>
      <c r="AE96" s="10">
        <f>ROUND(S96*(1-(Exhaust!$B$3+$AC96)),2)</f>
        <v>2.36</v>
      </c>
      <c r="AF96" s="7">
        <f>ROUND(T96*(1-(Exhaust!$B$4+$AC96)),2)</f>
        <v>2.68</v>
      </c>
      <c r="AG96" s="10">
        <f>ROUND($AD96*(SUMIFS(PrefFlows!$C:$C,PrefFlows!$A:$A,$R$1,PrefFlows!$B:$B,$B96)+$AB96)+$AE96*(SUMIFS(PrefFlows!$C:$C,PrefFlows!$A:$A,$S$1,PrefFlows!$B:$B,$B96)+$AB96)+$AF96*(SUMIFS(PrefFlows!$C:$C,PrefFlows!$A:$A,$T$1,PrefFlows!$B:$B,$B96)+$AB96),2)</f>
        <v>2.1800000000000002</v>
      </c>
      <c r="AH96" s="7">
        <f>ROUND($AD96*(1-(SUMIFS(PrefFlows!$C:$C,PrefFlows!$A:$A,$R$1,PrefFlows!$B:$B,$B96)+$AB96))+$AE96*(1-(SUMIFS(PrefFlows!$C:$C,PrefFlows!$A:$A,$S$1,PrefFlows!$B:$B,$B96)+$AB96))+$AF96*(1-(SUMIFS(PrefFlows!$C:$C,PrefFlows!$A:$A,$T$1,PrefFlows!$B:$B,$B96)+$AB96)),2)</f>
        <v>3.49</v>
      </c>
      <c r="AI96" s="10">
        <f t="shared" si="41"/>
        <v>56.65</v>
      </c>
      <c r="AJ96" s="7">
        <f t="shared" si="42"/>
        <v>36.58</v>
      </c>
      <c r="AK96" s="10">
        <f t="shared" si="43"/>
        <v>60.76</v>
      </c>
      <c r="AL96" s="7">
        <f t="shared" si="43"/>
        <v>39.24</v>
      </c>
      <c r="AM96" s="1">
        <f t="shared" si="26"/>
        <v>9.51</v>
      </c>
      <c r="AN96" s="1">
        <f t="shared" si="27"/>
        <v>10.72</v>
      </c>
      <c r="AO96" s="7">
        <f t="shared" si="28"/>
        <v>10.76</v>
      </c>
      <c r="AP96" s="1" t="b">
        <f t="shared" si="44"/>
        <v>0</v>
      </c>
      <c r="AQ96" s="1" t="b">
        <f t="shared" si="44"/>
        <v>0</v>
      </c>
      <c r="AR96" s="7" t="b">
        <f t="shared" si="45"/>
        <v>0</v>
      </c>
      <c r="AS96" s="1">
        <f t="shared" si="46"/>
        <v>1.2100000000000009</v>
      </c>
      <c r="AT96" s="1">
        <f t="shared" si="46"/>
        <v>1.25</v>
      </c>
      <c r="AU96" s="7">
        <f t="shared" si="47"/>
        <v>3.9999999999999147E-2</v>
      </c>
      <c r="AV96" s="1">
        <f>ROUND(IF(B96="NSW",N96*Meta!$B$6,N96),1)</f>
        <v>3957.7</v>
      </c>
      <c r="AW96" s="7">
        <f t="shared" si="29"/>
        <v>72501.3</v>
      </c>
    </row>
    <row r="97" spans="1:49" x14ac:dyDescent="0.55000000000000004">
      <c r="A97" s="11" t="s">
        <v>110</v>
      </c>
      <c r="B97" s="7" t="s">
        <v>13</v>
      </c>
      <c r="C97" s="10">
        <v>19.809999999999999</v>
      </c>
      <c r="D97" s="10">
        <v>57.26</v>
      </c>
      <c r="E97" s="10">
        <v>0</v>
      </c>
      <c r="F97" s="10">
        <v>1.45</v>
      </c>
      <c r="G97" s="10">
        <v>0</v>
      </c>
      <c r="H97" s="10">
        <v>10.48</v>
      </c>
      <c r="I97" s="10">
        <v>11</v>
      </c>
      <c r="J97" s="7">
        <f t="shared" si="30"/>
        <v>12.45</v>
      </c>
      <c r="K97" s="10">
        <v>65.75</v>
      </c>
      <c r="L97" s="7">
        <v>34.25</v>
      </c>
      <c r="M97" s="10">
        <v>82100</v>
      </c>
      <c r="N97" s="10">
        <v>3905</v>
      </c>
      <c r="O97" s="7">
        <f t="shared" si="31"/>
        <v>78195</v>
      </c>
      <c r="P97" s="10">
        <f>ROUND($C97+MIN($D97:$E97)*(1-SUMIFS(PrefFlows!$C:$C,PrefFlows!$A:$A,INDEX($D$1:$E$1,MATCH(MIN($D97:$E97),$D97:$E97,0)),PrefFlows!$B:$B,$B97)),2)</f>
        <v>19.809999999999999</v>
      </c>
      <c r="Q97" s="10">
        <f>ROUND(MAX($D97:$E97)+MIN($D97:$E97)*SUMIFS(PrefFlows!$C:$C,PrefFlows!$A:$A,INDEX($D$1:$E$1,MATCH(MIN($D97:$E97),$D97:$E97,0)),PrefFlows!$B:$B,$B97),2)</f>
        <v>57.26</v>
      </c>
      <c r="R97" s="10">
        <f t="shared" si="32"/>
        <v>0</v>
      </c>
      <c r="S97" s="10">
        <f t="shared" si="33"/>
        <v>10.48</v>
      </c>
      <c r="T97" s="7">
        <f t="shared" si="34"/>
        <v>12.45</v>
      </c>
      <c r="U97" s="9">
        <f t="shared" si="35"/>
        <v>37.450000000000003</v>
      </c>
      <c r="V97" s="10">
        <f>ROUND($R97*SUMIFS(PrefFlows!$C:$C,PrefFlows!$A:$A,$R$1,PrefFlows!$B:$B,$B97)+$S97*SUMIFS(PrefFlows!$C:$C,PrefFlows!$A:$A,$S$1,PrefFlows!$B:$B,$B97)+$T97*SUMIFS(PrefFlows!$C:$C,PrefFlows!$A:$A,$T$1,PrefFlows!$B:$B,$B97),2)</f>
        <v>8.39</v>
      </c>
      <c r="W97" s="7">
        <f>ROUND($R97*(1-SUMIFS(PrefFlows!$C:$C,PrefFlows!$A:$A,$R$1,PrefFlows!$B:$B,$B97))+$S97*(1-SUMIFS(PrefFlows!$C:$C,PrefFlows!$A:$A,$S$1,PrefFlows!$B:$B,$B97))+$T97*(1-SUMIFS(PrefFlows!$C:$C,PrefFlows!$A:$A,$T$1,PrefFlows!$B:$B,$B97)),2)</f>
        <v>14.54</v>
      </c>
      <c r="X97" s="10">
        <f t="shared" si="36"/>
        <v>8.49</v>
      </c>
      <c r="Y97" s="7">
        <f t="shared" si="37"/>
        <v>14.44</v>
      </c>
      <c r="Z97" s="10">
        <f t="shared" si="38"/>
        <v>0.3659</v>
      </c>
      <c r="AA97" s="10">
        <f t="shared" si="39"/>
        <v>0.37030000000000002</v>
      </c>
      <c r="AB97" s="10">
        <f t="shared" si="40"/>
        <v>4.4000000000000003E-3</v>
      </c>
      <c r="AC97" s="7">
        <v>4.2042201755757298E-2</v>
      </c>
      <c r="AD97" s="10">
        <f>ROUND(R97*(1-(Exhaust!$B$2+AC97)),2)</f>
        <v>0</v>
      </c>
      <c r="AE97" s="10">
        <f>ROUND(S97*(1-(Exhaust!$B$3+$AC97)),2)</f>
        <v>5.85</v>
      </c>
      <c r="AF97" s="7">
        <f>ROUND(T97*(1-(Exhaust!$B$4+$AC97)),2)</f>
        <v>5.7</v>
      </c>
      <c r="AG97" s="10">
        <f>ROUND($AD97*(SUMIFS(PrefFlows!$C:$C,PrefFlows!$A:$A,$R$1,PrefFlows!$B:$B,$B97)+$AB97)+$AE97*(SUMIFS(PrefFlows!$C:$C,PrefFlows!$A:$A,$S$1,PrefFlows!$B:$B,$B97)+$AB97)+$AF97*(SUMIFS(PrefFlows!$C:$C,PrefFlows!$A:$A,$T$1,PrefFlows!$B:$B,$B97)+$AB97),2)</f>
        <v>4.08</v>
      </c>
      <c r="AH97" s="7">
        <f>ROUND($AD97*(1-(SUMIFS(PrefFlows!$C:$C,PrefFlows!$A:$A,$R$1,PrefFlows!$B:$B,$B97)+$AB97))+$AE97*(1-(SUMIFS(PrefFlows!$C:$C,PrefFlows!$A:$A,$S$1,PrefFlows!$B:$B,$B97)+$AB97))+$AF97*(1-(SUMIFS(PrefFlows!$C:$C,PrefFlows!$A:$A,$T$1,PrefFlows!$B:$B,$B97)+$AB97)),2)</f>
        <v>7.47</v>
      </c>
      <c r="AI97" s="10">
        <f t="shared" si="41"/>
        <v>61.34</v>
      </c>
      <c r="AJ97" s="7">
        <f t="shared" si="42"/>
        <v>27.28</v>
      </c>
      <c r="AK97" s="10">
        <f t="shared" si="43"/>
        <v>69.22</v>
      </c>
      <c r="AL97" s="7">
        <f t="shared" si="43"/>
        <v>30.78</v>
      </c>
      <c r="AM97" s="1">
        <f t="shared" si="26"/>
        <v>15.75</v>
      </c>
      <c r="AN97" s="1">
        <f t="shared" si="27"/>
        <v>19.3</v>
      </c>
      <c r="AO97" s="7">
        <f t="shared" si="28"/>
        <v>19.22</v>
      </c>
      <c r="AP97" s="1" t="b">
        <f t="shared" si="44"/>
        <v>0</v>
      </c>
      <c r="AQ97" s="1" t="b">
        <f t="shared" si="44"/>
        <v>0</v>
      </c>
      <c r="AR97" s="7" t="b">
        <f t="shared" si="45"/>
        <v>0</v>
      </c>
      <c r="AS97" s="1">
        <f t="shared" si="46"/>
        <v>3.5500000000000007</v>
      </c>
      <c r="AT97" s="1">
        <f t="shared" si="46"/>
        <v>3.4699999999999989</v>
      </c>
      <c r="AU97" s="7">
        <f t="shared" si="47"/>
        <v>8.0000000000001847E-2</v>
      </c>
      <c r="AV97" s="1">
        <f>ROUND(IF(B97="NSW",N97*Meta!$B$6,N97),1)</f>
        <v>2616.4</v>
      </c>
      <c r="AW97" s="7">
        <f t="shared" si="29"/>
        <v>71332.2</v>
      </c>
    </row>
    <row r="98" spans="1:49" x14ac:dyDescent="0.55000000000000004">
      <c r="A98" s="11" t="s">
        <v>111</v>
      </c>
      <c r="B98" s="7" t="s">
        <v>13</v>
      </c>
      <c r="C98" s="10">
        <v>27.76</v>
      </c>
      <c r="D98" s="10">
        <v>53.27</v>
      </c>
      <c r="E98" s="10">
        <v>0</v>
      </c>
      <c r="F98" s="10">
        <v>1.23</v>
      </c>
      <c r="G98" s="10">
        <v>0</v>
      </c>
      <c r="H98" s="10">
        <v>10.85</v>
      </c>
      <c r="I98" s="10">
        <v>6.89</v>
      </c>
      <c r="J98" s="7">
        <f t="shared" si="30"/>
        <v>8.1199999999999992</v>
      </c>
      <c r="K98" s="10">
        <v>58.92</v>
      </c>
      <c r="L98" s="7">
        <v>41.08</v>
      </c>
      <c r="M98" s="10">
        <v>83279</v>
      </c>
      <c r="N98" s="10">
        <v>4394</v>
      </c>
      <c r="O98" s="7">
        <f t="shared" si="31"/>
        <v>78885</v>
      </c>
      <c r="P98" s="10">
        <f>ROUND($C98+MIN($D98:$E98)*(1-SUMIFS(PrefFlows!$C:$C,PrefFlows!$A:$A,INDEX($D$1:$E$1,MATCH(MIN($D98:$E98),$D98:$E98,0)),PrefFlows!$B:$B,$B98)),2)</f>
        <v>27.76</v>
      </c>
      <c r="Q98" s="10">
        <f>ROUND(MAX($D98:$E98)+MIN($D98:$E98)*SUMIFS(PrefFlows!$C:$C,PrefFlows!$A:$A,INDEX($D$1:$E$1,MATCH(MIN($D98:$E98),$D98:$E98,0)),PrefFlows!$B:$B,$B98),2)</f>
        <v>53.27</v>
      </c>
      <c r="R98" s="10">
        <f t="shared" si="32"/>
        <v>0</v>
      </c>
      <c r="S98" s="10">
        <f t="shared" si="33"/>
        <v>10.85</v>
      </c>
      <c r="T98" s="7">
        <f t="shared" si="34"/>
        <v>8.1199999999999992</v>
      </c>
      <c r="U98" s="9">
        <f t="shared" si="35"/>
        <v>25.51</v>
      </c>
      <c r="V98" s="10">
        <f>ROUND($R98*SUMIFS(PrefFlows!$C:$C,PrefFlows!$A:$A,$R$1,PrefFlows!$B:$B,$B98)+$S98*SUMIFS(PrefFlows!$C:$C,PrefFlows!$A:$A,$S$1,PrefFlows!$B:$B,$B98)+$T98*SUMIFS(PrefFlows!$C:$C,PrefFlows!$A:$A,$T$1,PrefFlows!$B:$B,$B98),2)</f>
        <v>6.18</v>
      </c>
      <c r="W98" s="7">
        <f>ROUND($R98*(1-SUMIFS(PrefFlows!$C:$C,PrefFlows!$A:$A,$R$1,PrefFlows!$B:$B,$B98))+$S98*(1-SUMIFS(PrefFlows!$C:$C,PrefFlows!$A:$A,$S$1,PrefFlows!$B:$B,$B98))+$T98*(1-SUMIFS(PrefFlows!$C:$C,PrefFlows!$A:$A,$T$1,PrefFlows!$B:$B,$B98)),2)</f>
        <v>12.79</v>
      </c>
      <c r="X98" s="10">
        <f t="shared" si="36"/>
        <v>5.65</v>
      </c>
      <c r="Y98" s="7">
        <f t="shared" si="37"/>
        <v>13.32</v>
      </c>
      <c r="Z98" s="10">
        <f t="shared" si="38"/>
        <v>0.32579999999999998</v>
      </c>
      <c r="AA98" s="10">
        <f t="shared" si="39"/>
        <v>0.29780000000000001</v>
      </c>
      <c r="AB98" s="10">
        <f t="shared" si="40"/>
        <v>-2.8000000000000001E-2</v>
      </c>
      <c r="AC98" s="7">
        <v>-3.13271039558227E-3</v>
      </c>
      <c r="AD98" s="10">
        <f>ROUND(R98*(1-(Exhaust!$B$2+AC98)),2)</f>
        <v>0</v>
      </c>
      <c r="AE98" s="10">
        <f>ROUND(S98*(1-(Exhaust!$B$3+$AC98)),2)</f>
        <v>6.54</v>
      </c>
      <c r="AF98" s="7">
        <f>ROUND(T98*(1-(Exhaust!$B$4+$AC98)),2)</f>
        <v>4.09</v>
      </c>
      <c r="AG98" s="10">
        <f>ROUND($AD98*(SUMIFS(PrefFlows!$C:$C,PrefFlows!$A:$A,$R$1,PrefFlows!$B:$B,$B98)+$AB98)+$AE98*(SUMIFS(PrefFlows!$C:$C,PrefFlows!$A:$A,$S$1,PrefFlows!$B:$B,$B98)+$AB98)+$AF98*(SUMIFS(PrefFlows!$C:$C,PrefFlows!$A:$A,$T$1,PrefFlows!$B:$B,$B98)+$AB98),2)</f>
        <v>3.01</v>
      </c>
      <c r="AH98" s="7">
        <f>ROUND($AD98*(1-(SUMIFS(PrefFlows!$C:$C,PrefFlows!$A:$A,$R$1,PrefFlows!$B:$B,$B98)+$AB98))+$AE98*(1-(SUMIFS(PrefFlows!$C:$C,PrefFlows!$A:$A,$S$1,PrefFlows!$B:$B,$B98)+$AB98))+$AF98*(1-(SUMIFS(PrefFlows!$C:$C,PrefFlows!$A:$A,$T$1,PrefFlows!$B:$B,$B98)+$AB98)),2)</f>
        <v>7.62</v>
      </c>
      <c r="AI98" s="10">
        <f t="shared" si="41"/>
        <v>56.28</v>
      </c>
      <c r="AJ98" s="7">
        <f t="shared" si="42"/>
        <v>35.380000000000003</v>
      </c>
      <c r="AK98" s="10">
        <f t="shared" si="43"/>
        <v>61.4</v>
      </c>
      <c r="AL98" s="7">
        <f t="shared" si="43"/>
        <v>38.6</v>
      </c>
      <c r="AM98" s="1">
        <f t="shared" ref="AM98:AM129" si="48">ROUND(K98-50,2)</f>
        <v>8.92</v>
      </c>
      <c r="AN98" s="1">
        <f t="shared" ref="AN98:AN129" si="49">ROUND((Q98+X98*0.52)/((Q98+X98*0.52)+(P98+Y98*0.52))*100-50,2)</f>
        <v>11.84</v>
      </c>
      <c r="AO98" s="7">
        <f t="shared" ref="AO98:AO129" si="50">ROUND(AK98-50,2)</f>
        <v>11.4</v>
      </c>
      <c r="AP98" s="1" t="b">
        <f t="shared" si="44"/>
        <v>0</v>
      </c>
      <c r="AQ98" s="1" t="b">
        <f t="shared" si="44"/>
        <v>0</v>
      </c>
      <c r="AR98" s="7" t="b">
        <f t="shared" si="45"/>
        <v>0</v>
      </c>
      <c r="AS98" s="1">
        <f t="shared" si="46"/>
        <v>2.92</v>
      </c>
      <c r="AT98" s="1">
        <f t="shared" si="46"/>
        <v>2.4800000000000004</v>
      </c>
      <c r="AU98" s="7">
        <f t="shared" si="47"/>
        <v>0.4399999999999995</v>
      </c>
      <c r="AV98" s="1">
        <f>ROUND(IF(B98="NSW",N98*Meta!$B$6,N98),1)</f>
        <v>2944</v>
      </c>
      <c r="AW98" s="7">
        <f t="shared" ref="AW98:AW129" si="51">ROUND((M98-AV98*($AV$153/$AV$152))*SUM($AI98:$AJ98)/100,1)</f>
        <v>74675.399999999994</v>
      </c>
    </row>
    <row r="99" spans="1:49" x14ac:dyDescent="0.55000000000000004">
      <c r="A99" s="11" t="s">
        <v>112</v>
      </c>
      <c r="B99" s="7" t="s">
        <v>8</v>
      </c>
      <c r="C99" s="10">
        <v>43.02</v>
      </c>
      <c r="D99" s="10">
        <v>44.71</v>
      </c>
      <c r="E99" s="10">
        <v>0</v>
      </c>
      <c r="F99" s="10">
        <v>1.75</v>
      </c>
      <c r="G99" s="10">
        <v>0.84</v>
      </c>
      <c r="H99" s="10">
        <v>3.79</v>
      </c>
      <c r="I99" s="10">
        <v>6.73</v>
      </c>
      <c r="J99" s="7">
        <f t="shared" si="30"/>
        <v>7.64</v>
      </c>
      <c r="K99" s="10">
        <v>50.93</v>
      </c>
      <c r="L99" s="7">
        <v>49.07</v>
      </c>
      <c r="M99" s="10">
        <v>89653</v>
      </c>
      <c r="N99" s="10">
        <v>4851</v>
      </c>
      <c r="O99" s="7">
        <f t="shared" si="31"/>
        <v>84802</v>
      </c>
      <c r="P99" s="10">
        <f>ROUND($C99+MIN($D99:$E99)*(1-SUMIFS(PrefFlows!$C:$C,PrefFlows!$A:$A,INDEX($D$1:$E$1,MATCH(MIN($D99:$E99),$D99:$E99,0)),PrefFlows!$B:$B,$B99)),2)</f>
        <v>43.02</v>
      </c>
      <c r="Q99" s="10">
        <f>ROUND(MAX($D99:$E99)+MIN($D99:$E99)*SUMIFS(PrefFlows!$C:$C,PrefFlows!$A:$A,INDEX($D$1:$E$1,MATCH(MIN($D99:$E99),$D99:$E99,0)),PrefFlows!$B:$B,$B99),2)</f>
        <v>44.71</v>
      </c>
      <c r="R99" s="10">
        <f t="shared" si="32"/>
        <v>0.84</v>
      </c>
      <c r="S99" s="10">
        <f t="shared" si="33"/>
        <v>3.79</v>
      </c>
      <c r="T99" s="7">
        <f t="shared" si="34"/>
        <v>7.64</v>
      </c>
      <c r="U99" s="9">
        <f t="shared" si="35"/>
        <v>1.69</v>
      </c>
      <c r="V99" s="10">
        <f>ROUND($R99*SUMIFS(PrefFlows!$C:$C,PrefFlows!$A:$A,$R$1,PrefFlows!$B:$B,$B99)+$S99*SUMIFS(PrefFlows!$C:$C,PrefFlows!$A:$A,$S$1,PrefFlows!$B:$B,$B99)+$T99*SUMIFS(PrefFlows!$C:$C,PrefFlows!$A:$A,$T$1,PrefFlows!$B:$B,$B99),2)</f>
        <v>5.16</v>
      </c>
      <c r="W99" s="7">
        <f>ROUND($R99*(1-SUMIFS(PrefFlows!$C:$C,PrefFlows!$A:$A,$R$1,PrefFlows!$B:$B,$B99))+$S99*(1-SUMIFS(PrefFlows!$C:$C,PrefFlows!$A:$A,$S$1,PrefFlows!$B:$B,$B99))+$T99*(1-SUMIFS(PrefFlows!$C:$C,PrefFlows!$A:$A,$T$1,PrefFlows!$B:$B,$B99)),2)</f>
        <v>7.11</v>
      </c>
      <c r="X99" s="10">
        <f t="shared" si="36"/>
        <v>6.22</v>
      </c>
      <c r="Y99" s="7">
        <f t="shared" si="37"/>
        <v>6.05</v>
      </c>
      <c r="Z99" s="10">
        <f t="shared" si="38"/>
        <v>0.42049999999999998</v>
      </c>
      <c r="AA99" s="10">
        <f t="shared" si="39"/>
        <v>0.50690000000000002</v>
      </c>
      <c r="AB99" s="10">
        <f t="shared" si="40"/>
        <v>8.6400000000000005E-2</v>
      </c>
      <c r="AC99" s="7">
        <v>3.4613500874250698E-2</v>
      </c>
      <c r="AD99" s="10">
        <f>ROUND(R99*(1-(Exhaust!$B$2+AC99)),2)</f>
        <v>0.34</v>
      </c>
      <c r="AE99" s="10">
        <f>ROUND(S99*(1-(Exhaust!$B$3+$AC99)),2)</f>
        <v>2.14</v>
      </c>
      <c r="AF99" s="7">
        <f>ROUND(T99*(1-(Exhaust!$B$4+$AC99)),2)</f>
        <v>3.56</v>
      </c>
      <c r="AG99" s="10">
        <f>ROUND($AD99*(SUMIFS(PrefFlows!$C:$C,PrefFlows!$A:$A,$R$1,PrefFlows!$B:$B,$B99)+$AB99)+$AE99*(SUMIFS(PrefFlows!$C:$C,PrefFlows!$A:$A,$S$1,PrefFlows!$B:$B,$B99)+$AB99)+$AF99*(SUMIFS(PrefFlows!$C:$C,PrefFlows!$A:$A,$T$1,PrefFlows!$B:$B,$B99)+$AB99),2)</f>
        <v>2.98</v>
      </c>
      <c r="AH99" s="7">
        <f>ROUND($AD99*(1-(SUMIFS(PrefFlows!$C:$C,PrefFlows!$A:$A,$R$1,PrefFlows!$B:$B,$B99)+$AB99))+$AE99*(1-(SUMIFS(PrefFlows!$C:$C,PrefFlows!$A:$A,$S$1,PrefFlows!$B:$B,$B99)+$AB99))+$AF99*(1-(SUMIFS(PrefFlows!$C:$C,PrefFlows!$A:$A,$T$1,PrefFlows!$B:$B,$B99)+$AB99)),2)</f>
        <v>3.06</v>
      </c>
      <c r="AI99" s="10">
        <f t="shared" si="41"/>
        <v>47.69</v>
      </c>
      <c r="AJ99" s="7">
        <f t="shared" si="42"/>
        <v>46.08</v>
      </c>
      <c r="AK99" s="10">
        <f t="shared" si="43"/>
        <v>50.86</v>
      </c>
      <c r="AL99" s="7">
        <f t="shared" si="43"/>
        <v>49.14</v>
      </c>
      <c r="AM99" s="1">
        <f t="shared" si="48"/>
        <v>0.93</v>
      </c>
      <c r="AN99" s="1">
        <f t="shared" si="49"/>
        <v>0.94</v>
      </c>
      <c r="AO99" s="7">
        <f t="shared" si="50"/>
        <v>0.86</v>
      </c>
      <c r="AP99" s="1" t="b">
        <f t="shared" si="44"/>
        <v>0</v>
      </c>
      <c r="AQ99" s="1" t="b">
        <f t="shared" si="44"/>
        <v>0</v>
      </c>
      <c r="AR99" s="7" t="b">
        <f t="shared" si="45"/>
        <v>0</v>
      </c>
      <c r="AS99" s="1">
        <f t="shared" si="46"/>
        <v>9.9999999999998979E-3</v>
      </c>
      <c r="AT99" s="1">
        <f t="shared" si="46"/>
        <v>-7.0000000000000062E-2</v>
      </c>
      <c r="AU99" s="7">
        <f t="shared" si="47"/>
        <v>7.999999999999996E-2</v>
      </c>
      <c r="AV99" s="1">
        <f>ROUND(IF(B99="NSW",N99*Meta!$B$6,N99),1)</f>
        <v>4851</v>
      </c>
      <c r="AW99" s="7">
        <f t="shared" si="51"/>
        <v>81272.5</v>
      </c>
    </row>
    <row r="100" spans="1:49" x14ac:dyDescent="0.55000000000000004">
      <c r="A100" s="11" t="s">
        <v>113</v>
      </c>
      <c r="B100" s="7" t="s">
        <v>10</v>
      </c>
      <c r="C100" s="10">
        <v>20.309999999999999</v>
      </c>
      <c r="D100" s="10">
        <v>0</v>
      </c>
      <c r="E100" s="10">
        <v>68.42</v>
      </c>
      <c r="F100" s="10">
        <v>1.55</v>
      </c>
      <c r="G100" s="10">
        <v>0</v>
      </c>
      <c r="H100" s="10">
        <v>3.78</v>
      </c>
      <c r="I100" s="10">
        <v>5.94</v>
      </c>
      <c r="J100" s="7">
        <f t="shared" si="30"/>
        <v>7.49</v>
      </c>
      <c r="K100" s="10">
        <v>74.75</v>
      </c>
      <c r="L100" s="7">
        <v>25.25</v>
      </c>
      <c r="M100" s="10">
        <v>86886</v>
      </c>
      <c r="N100" s="10">
        <v>3031</v>
      </c>
      <c r="O100" s="7">
        <f t="shared" si="31"/>
        <v>83855</v>
      </c>
      <c r="P100" s="10">
        <f>ROUND($C100+MIN($D100:$E100)*(1-SUMIFS(PrefFlows!$C:$C,PrefFlows!$A:$A,INDEX($D$1:$E$1,MATCH(MIN($D100:$E100),$D100:$E100,0)),PrefFlows!$B:$B,$B100)),2)</f>
        <v>20.309999999999999</v>
      </c>
      <c r="Q100" s="10">
        <f>ROUND(MAX($D100:$E100)+MIN($D100:$E100)*SUMIFS(PrefFlows!$C:$C,PrefFlows!$A:$A,INDEX($D$1:$E$1,MATCH(MIN($D100:$E100),$D100:$E100,0)),PrefFlows!$B:$B,$B100),2)</f>
        <v>68.42</v>
      </c>
      <c r="R100" s="10">
        <f t="shared" si="32"/>
        <v>0</v>
      </c>
      <c r="S100" s="10">
        <f t="shared" si="33"/>
        <v>3.78</v>
      </c>
      <c r="T100" s="7">
        <f t="shared" si="34"/>
        <v>7.49</v>
      </c>
      <c r="U100" s="9">
        <f t="shared" si="35"/>
        <v>48.11</v>
      </c>
      <c r="V100" s="10">
        <f>ROUND($R100*SUMIFS(PrefFlows!$C:$C,PrefFlows!$A:$A,$R$1,PrefFlows!$B:$B,$B100)+$S100*SUMIFS(PrefFlows!$C:$C,PrefFlows!$A:$A,$S$1,PrefFlows!$B:$B,$B100)+$T100*SUMIFS(PrefFlows!$C:$C,PrefFlows!$A:$A,$T$1,PrefFlows!$B:$B,$B100),2)</f>
        <v>4.57</v>
      </c>
      <c r="W100" s="7">
        <f>ROUND($R100*(1-SUMIFS(PrefFlows!$C:$C,PrefFlows!$A:$A,$R$1,PrefFlows!$B:$B,$B100))+$S100*(1-SUMIFS(PrefFlows!$C:$C,PrefFlows!$A:$A,$S$1,PrefFlows!$B:$B,$B100))+$T100*(1-SUMIFS(PrefFlows!$C:$C,PrefFlows!$A:$A,$T$1,PrefFlows!$B:$B,$B100)),2)</f>
        <v>6.7</v>
      </c>
      <c r="X100" s="10">
        <f t="shared" si="36"/>
        <v>6.33</v>
      </c>
      <c r="Y100" s="7">
        <f t="shared" si="37"/>
        <v>4.9400000000000004</v>
      </c>
      <c r="Z100" s="10">
        <f t="shared" si="38"/>
        <v>0.40550000000000003</v>
      </c>
      <c r="AA100" s="10">
        <f t="shared" si="39"/>
        <v>0.56169999999999998</v>
      </c>
      <c r="AB100" s="10">
        <f t="shared" si="40"/>
        <v>0.15620000000000001</v>
      </c>
      <c r="AC100" s="7">
        <v>-1.3906193668749E-2</v>
      </c>
      <c r="AD100" s="10">
        <f>ROUND(R100*(1-(Exhaust!$B$2+AC100)),2)</f>
        <v>0</v>
      </c>
      <c r="AE100" s="10">
        <f>ROUND(S100*(1-(Exhaust!$B$3+$AC100)),2)</f>
        <v>2.3199999999999998</v>
      </c>
      <c r="AF100" s="7">
        <f>ROUND(T100*(1-(Exhaust!$B$4+$AC100)),2)</f>
        <v>3.85</v>
      </c>
      <c r="AG100" s="10">
        <f>ROUND($AD100*(SUMIFS(PrefFlows!$C:$C,PrefFlows!$A:$A,$R$1,PrefFlows!$B:$B,$B100)+$AB100)+$AE100*(SUMIFS(PrefFlows!$C:$C,PrefFlows!$A:$A,$S$1,PrefFlows!$B:$B,$B100)+$AB100)+$AF100*(SUMIFS(PrefFlows!$C:$C,PrefFlows!$A:$A,$T$1,PrefFlows!$B:$B,$B100)+$AB100),2)</f>
        <v>3.38</v>
      </c>
      <c r="AH100" s="7">
        <f>ROUND($AD100*(1-(SUMIFS(PrefFlows!$C:$C,PrefFlows!$A:$A,$R$1,PrefFlows!$B:$B,$B100)+$AB100))+$AE100*(1-(SUMIFS(PrefFlows!$C:$C,PrefFlows!$A:$A,$S$1,PrefFlows!$B:$B,$B100)+$AB100))+$AF100*(1-(SUMIFS(PrefFlows!$C:$C,PrefFlows!$A:$A,$T$1,PrefFlows!$B:$B,$B100)+$AB100)),2)</f>
        <v>2.79</v>
      </c>
      <c r="AI100" s="10">
        <f t="shared" si="41"/>
        <v>71.8</v>
      </c>
      <c r="AJ100" s="7">
        <f t="shared" si="42"/>
        <v>23.1</v>
      </c>
      <c r="AK100" s="10">
        <f t="shared" si="43"/>
        <v>75.66</v>
      </c>
      <c r="AL100" s="7">
        <f t="shared" si="43"/>
        <v>24.34</v>
      </c>
      <c r="AM100" s="1">
        <f t="shared" si="48"/>
        <v>24.75</v>
      </c>
      <c r="AN100" s="1">
        <f t="shared" si="49"/>
        <v>25.81</v>
      </c>
      <c r="AO100" s="7">
        <f t="shared" si="50"/>
        <v>25.66</v>
      </c>
      <c r="AP100" s="1" t="b">
        <f t="shared" si="44"/>
        <v>0</v>
      </c>
      <c r="AQ100" s="1" t="b">
        <f t="shared" si="44"/>
        <v>0</v>
      </c>
      <c r="AR100" s="7" t="b">
        <f t="shared" si="45"/>
        <v>0</v>
      </c>
      <c r="AS100" s="1">
        <f t="shared" si="46"/>
        <v>1.0599999999999987</v>
      </c>
      <c r="AT100" s="1">
        <f t="shared" si="46"/>
        <v>0.91000000000000014</v>
      </c>
      <c r="AU100" s="7">
        <f t="shared" si="47"/>
        <v>0.14999999999999858</v>
      </c>
      <c r="AV100" s="1">
        <f>ROUND(IF(B100="NSW",N100*Meta!$B$6,N100),1)</f>
        <v>3031</v>
      </c>
      <c r="AW100" s="7">
        <f t="shared" si="51"/>
        <v>80687.3</v>
      </c>
    </row>
    <row r="101" spans="1:49" x14ac:dyDescent="0.55000000000000004">
      <c r="A101" s="11" t="s">
        <v>114</v>
      </c>
      <c r="B101" s="7" t="s">
        <v>23</v>
      </c>
      <c r="C101" s="10">
        <v>22.3</v>
      </c>
      <c r="D101" s="10">
        <v>0</v>
      </c>
      <c r="E101" s="10">
        <v>60.51</v>
      </c>
      <c r="F101" s="10">
        <v>1.1399999999999999</v>
      </c>
      <c r="G101" s="10">
        <v>4.47</v>
      </c>
      <c r="H101" s="10">
        <v>2</v>
      </c>
      <c r="I101" s="10">
        <v>14.05</v>
      </c>
      <c r="J101" s="7">
        <f t="shared" si="30"/>
        <v>10.72</v>
      </c>
      <c r="K101" s="10">
        <v>70.930000000000007</v>
      </c>
      <c r="L101" s="7">
        <v>29.07</v>
      </c>
      <c r="M101" s="10">
        <v>83026</v>
      </c>
      <c r="N101" s="10">
        <v>3955</v>
      </c>
      <c r="O101" s="7">
        <f t="shared" si="31"/>
        <v>79071</v>
      </c>
      <c r="P101" s="10">
        <f>ROUND($C101+MIN($D101:$E101)*(1-SUMIFS(PrefFlows!$C:$C,PrefFlows!$A:$A,INDEX($D$1:$E$1,MATCH(MIN($D101:$E101),$D101:$E101,0)),PrefFlows!$B:$B,$B101)),2)</f>
        <v>22.3</v>
      </c>
      <c r="Q101" s="10">
        <f>ROUND(MAX($D101:$E101)+MIN($D101:$E101)*SUMIFS(PrefFlows!$C:$C,PrefFlows!$A:$A,INDEX($D$1:$E$1,MATCH(MIN($D101:$E101),$D101:$E101,0)),PrefFlows!$B:$B,$B101),2)</f>
        <v>60.51</v>
      </c>
      <c r="R101" s="10">
        <f t="shared" si="32"/>
        <v>4.47</v>
      </c>
      <c r="S101" s="10">
        <f t="shared" si="33"/>
        <v>2</v>
      </c>
      <c r="T101" s="7">
        <f t="shared" si="34"/>
        <v>10.72</v>
      </c>
      <c r="U101" s="9">
        <f t="shared" si="35"/>
        <v>38.21</v>
      </c>
      <c r="V101" s="10">
        <f>ROUND($R101*SUMIFS(PrefFlows!$C:$C,PrefFlows!$A:$A,$R$1,PrefFlows!$B:$B,$B101)+$S101*SUMIFS(PrefFlows!$C:$C,PrefFlows!$A:$A,$S$1,PrefFlows!$B:$B,$B101)+$T101*SUMIFS(PrefFlows!$C:$C,PrefFlows!$A:$A,$T$1,PrefFlows!$B:$B,$B101),2)</f>
        <v>8.6199999999999992</v>
      </c>
      <c r="W101" s="7">
        <f>ROUND($R101*(1-SUMIFS(PrefFlows!$C:$C,PrefFlows!$A:$A,$R$1,PrefFlows!$B:$B,$B101))+$S101*(1-SUMIFS(PrefFlows!$C:$C,PrefFlows!$A:$A,$S$1,PrefFlows!$B:$B,$B101))+$T101*(1-SUMIFS(PrefFlows!$C:$C,PrefFlows!$A:$A,$T$1,PrefFlows!$B:$B,$B101)),2)</f>
        <v>8.57</v>
      </c>
      <c r="X101" s="10">
        <f t="shared" si="36"/>
        <v>10.42</v>
      </c>
      <c r="Y101" s="7">
        <f t="shared" si="37"/>
        <v>6.77</v>
      </c>
      <c r="Z101" s="10">
        <f t="shared" si="38"/>
        <v>0.50149999999999995</v>
      </c>
      <c r="AA101" s="10">
        <f t="shared" si="39"/>
        <v>0.60619999999999996</v>
      </c>
      <c r="AB101" s="10">
        <f t="shared" si="40"/>
        <v>0.1047</v>
      </c>
      <c r="AC101" s="7">
        <v>4.5715320107861501E-2</v>
      </c>
      <c r="AD101" s="10">
        <f>ROUND(R101*(1-(Exhaust!$B$2+AC101)),2)</f>
        <v>1.76</v>
      </c>
      <c r="AE101" s="10">
        <f>ROUND(S101*(1-(Exhaust!$B$3+$AC101)),2)</f>
        <v>1.1100000000000001</v>
      </c>
      <c r="AF101" s="7">
        <f>ROUND(T101*(1-(Exhaust!$B$4+$AC101)),2)</f>
        <v>4.87</v>
      </c>
      <c r="AG101" s="10">
        <f>ROUND($AD101*(SUMIFS(PrefFlows!$C:$C,PrefFlows!$A:$A,$R$1,PrefFlows!$B:$B,$B101)+$AB101)+$AE101*(SUMIFS(PrefFlows!$C:$C,PrefFlows!$A:$A,$S$1,PrefFlows!$B:$B,$B101)+$AB101)+$AF101*(SUMIFS(PrefFlows!$C:$C,PrefFlows!$A:$A,$T$1,PrefFlows!$B:$B,$B101)+$AB101),2)</f>
        <v>4.6100000000000003</v>
      </c>
      <c r="AH101" s="7">
        <f>ROUND($AD101*(1-(SUMIFS(PrefFlows!$C:$C,PrefFlows!$A:$A,$R$1,PrefFlows!$B:$B,$B101)+$AB101))+$AE101*(1-(SUMIFS(PrefFlows!$C:$C,PrefFlows!$A:$A,$S$1,PrefFlows!$B:$B,$B101)+$AB101))+$AF101*(1-(SUMIFS(PrefFlows!$C:$C,PrefFlows!$A:$A,$T$1,PrefFlows!$B:$B,$B101)+$AB101)),2)</f>
        <v>3.13</v>
      </c>
      <c r="AI101" s="10">
        <f t="shared" si="41"/>
        <v>65.12</v>
      </c>
      <c r="AJ101" s="7">
        <f t="shared" si="42"/>
        <v>25.43</v>
      </c>
      <c r="AK101" s="10">
        <f t="shared" si="43"/>
        <v>71.92</v>
      </c>
      <c r="AL101" s="7">
        <f t="shared" si="43"/>
        <v>28.08</v>
      </c>
      <c r="AM101" s="1">
        <f t="shared" si="48"/>
        <v>20.93</v>
      </c>
      <c r="AN101" s="1">
        <f t="shared" si="49"/>
        <v>21.86</v>
      </c>
      <c r="AO101" s="7">
        <f t="shared" si="50"/>
        <v>21.92</v>
      </c>
      <c r="AP101" s="1" t="b">
        <f t="shared" si="44"/>
        <v>0</v>
      </c>
      <c r="AQ101" s="1" t="b">
        <f t="shared" si="44"/>
        <v>0</v>
      </c>
      <c r="AR101" s="7" t="b">
        <f t="shared" si="45"/>
        <v>0</v>
      </c>
      <c r="AS101" s="1">
        <f t="shared" si="46"/>
        <v>0.92999999999999972</v>
      </c>
      <c r="AT101" s="1">
        <f t="shared" si="46"/>
        <v>0.99000000000000199</v>
      </c>
      <c r="AU101" s="7">
        <f t="shared" si="47"/>
        <v>6.0000000000002274E-2</v>
      </c>
      <c r="AV101" s="1">
        <f>ROUND(IF(B101="NSW",N101*Meta!$B$6,N101),1)</f>
        <v>3955</v>
      </c>
      <c r="AW101" s="7">
        <f t="shared" si="51"/>
        <v>72979.399999999994</v>
      </c>
    </row>
    <row r="102" spans="1:49" x14ac:dyDescent="0.55000000000000004">
      <c r="A102" s="11" t="s">
        <v>115</v>
      </c>
      <c r="B102" s="7" t="s">
        <v>10</v>
      </c>
      <c r="C102" s="10">
        <v>51.33</v>
      </c>
      <c r="D102" s="10">
        <v>37.5</v>
      </c>
      <c r="E102" s="10">
        <v>0</v>
      </c>
      <c r="F102" s="10">
        <v>1.62</v>
      </c>
      <c r="G102" s="10">
        <v>0</v>
      </c>
      <c r="H102" s="10">
        <v>6.86</v>
      </c>
      <c r="I102" s="10">
        <v>2.69</v>
      </c>
      <c r="J102" s="7">
        <f t="shared" si="30"/>
        <v>4.3099999999999996</v>
      </c>
      <c r="K102" s="10">
        <v>40.53</v>
      </c>
      <c r="L102" s="7">
        <v>59.47</v>
      </c>
      <c r="M102" s="10">
        <v>82063</v>
      </c>
      <c r="N102" s="10">
        <v>3989</v>
      </c>
      <c r="O102" s="7">
        <f t="shared" si="31"/>
        <v>78074</v>
      </c>
      <c r="P102" s="10">
        <f>ROUND($C102+MIN($D102:$E102)*(1-SUMIFS(PrefFlows!$C:$C,PrefFlows!$A:$A,INDEX($D$1:$E$1,MATCH(MIN($D102:$E102),$D102:$E102,0)),PrefFlows!$B:$B,$B102)),2)</f>
        <v>51.33</v>
      </c>
      <c r="Q102" s="10">
        <f>ROUND(MAX($D102:$E102)+MIN($D102:$E102)*SUMIFS(PrefFlows!$C:$C,PrefFlows!$A:$A,INDEX($D$1:$E$1,MATCH(MIN($D102:$E102),$D102:$E102,0)),PrefFlows!$B:$B,$B102),2)</f>
        <v>37.5</v>
      </c>
      <c r="R102" s="10">
        <f t="shared" si="32"/>
        <v>0</v>
      </c>
      <c r="S102" s="10">
        <f t="shared" si="33"/>
        <v>6.86</v>
      </c>
      <c r="T102" s="7">
        <f t="shared" si="34"/>
        <v>4.3099999999999996</v>
      </c>
      <c r="U102" s="9">
        <f t="shared" si="35"/>
        <v>-13.83</v>
      </c>
      <c r="V102" s="10">
        <f>ROUND($R102*SUMIFS(PrefFlows!$C:$C,PrefFlows!$A:$A,$R$1,PrefFlows!$B:$B,$B102)+$S102*SUMIFS(PrefFlows!$C:$C,PrefFlows!$A:$A,$S$1,PrefFlows!$B:$B,$B102)+$T102*SUMIFS(PrefFlows!$C:$C,PrefFlows!$A:$A,$T$1,PrefFlows!$B:$B,$B102),2)</f>
        <v>3.42</v>
      </c>
      <c r="W102" s="7">
        <f>ROUND($R102*(1-SUMIFS(PrefFlows!$C:$C,PrefFlows!$A:$A,$R$1,PrefFlows!$B:$B,$B102))+$S102*(1-SUMIFS(PrefFlows!$C:$C,PrefFlows!$A:$A,$S$1,PrefFlows!$B:$B,$B102))+$T102*(1-SUMIFS(PrefFlows!$C:$C,PrefFlows!$A:$A,$T$1,PrefFlows!$B:$B,$B102)),2)</f>
        <v>7.75</v>
      </c>
      <c r="X102" s="10">
        <f t="shared" si="36"/>
        <v>3.03</v>
      </c>
      <c r="Y102" s="7">
        <f t="shared" si="37"/>
        <v>8.14</v>
      </c>
      <c r="Z102" s="10">
        <f t="shared" si="38"/>
        <v>0.30620000000000003</v>
      </c>
      <c r="AA102" s="10">
        <f t="shared" si="39"/>
        <v>0.27129999999999999</v>
      </c>
      <c r="AB102" s="10">
        <f t="shared" si="40"/>
        <v>-3.49E-2</v>
      </c>
      <c r="AC102" s="7">
        <v>-6.0878243350361197E-2</v>
      </c>
      <c r="AD102" s="10">
        <f>ROUND(R102*(1-(Exhaust!$B$2+AC102)),2)</f>
        <v>0</v>
      </c>
      <c r="AE102" s="10">
        <f>ROUND(S102*(1-(Exhaust!$B$3+$AC102)),2)</f>
        <v>4.53</v>
      </c>
      <c r="AF102" s="7">
        <f>ROUND(T102*(1-(Exhaust!$B$4+$AC102)),2)</f>
        <v>2.42</v>
      </c>
      <c r="AG102" s="10">
        <f>ROUND($AD102*(SUMIFS(PrefFlows!$C:$C,PrefFlows!$A:$A,$R$1,PrefFlows!$B:$B,$B102)+$AB102)+$AE102*(SUMIFS(PrefFlows!$C:$C,PrefFlows!$A:$A,$S$1,PrefFlows!$B:$B,$B102)+$AB102)+$AF102*(SUMIFS(PrefFlows!$C:$C,PrefFlows!$A:$A,$T$1,PrefFlows!$B:$B,$B102)+$AB102),2)</f>
        <v>1.79</v>
      </c>
      <c r="AH102" s="7">
        <f>ROUND($AD102*(1-(SUMIFS(PrefFlows!$C:$C,PrefFlows!$A:$A,$R$1,PrefFlows!$B:$B,$B102)+$AB102))+$AE102*(1-(SUMIFS(PrefFlows!$C:$C,PrefFlows!$A:$A,$S$1,PrefFlows!$B:$B,$B102)+$AB102))+$AF102*(1-(SUMIFS(PrefFlows!$C:$C,PrefFlows!$A:$A,$T$1,PrefFlows!$B:$B,$B102)+$AB102)),2)</f>
        <v>5.16</v>
      </c>
      <c r="AI102" s="10">
        <f t="shared" si="41"/>
        <v>39.29</v>
      </c>
      <c r="AJ102" s="7">
        <f t="shared" si="42"/>
        <v>56.49</v>
      </c>
      <c r="AK102" s="10">
        <f t="shared" si="43"/>
        <v>41.02</v>
      </c>
      <c r="AL102" s="7">
        <f t="shared" si="43"/>
        <v>58.98</v>
      </c>
      <c r="AM102" s="1">
        <f t="shared" si="48"/>
        <v>-9.4700000000000006</v>
      </c>
      <c r="AN102" s="1">
        <f t="shared" si="49"/>
        <v>-8.7100000000000009</v>
      </c>
      <c r="AO102" s="7">
        <f t="shared" si="50"/>
        <v>-8.98</v>
      </c>
      <c r="AP102" s="1" t="b">
        <f t="shared" si="44"/>
        <v>0</v>
      </c>
      <c r="AQ102" s="1" t="b">
        <f t="shared" si="44"/>
        <v>0</v>
      </c>
      <c r="AR102" s="7" t="b">
        <f t="shared" si="45"/>
        <v>0</v>
      </c>
      <c r="AS102" s="1">
        <f t="shared" si="46"/>
        <v>0.75999999999999979</v>
      </c>
      <c r="AT102" s="1">
        <f t="shared" si="46"/>
        <v>0.49000000000000021</v>
      </c>
      <c r="AU102" s="7">
        <f t="shared" si="47"/>
        <v>0.26999999999999957</v>
      </c>
      <c r="AV102" s="1">
        <f>ROUND(IF(B102="NSW",N102*Meta!$B$6,N102),1)</f>
        <v>3989</v>
      </c>
      <c r="AW102" s="7">
        <f t="shared" si="51"/>
        <v>76252.2</v>
      </c>
    </row>
    <row r="103" spans="1:49" x14ac:dyDescent="0.55000000000000004">
      <c r="A103" s="11" t="s">
        <v>116</v>
      </c>
      <c r="B103" s="7" t="s">
        <v>8</v>
      </c>
      <c r="C103" s="10">
        <v>16.489999999999998</v>
      </c>
      <c r="D103" s="10">
        <v>53.64</v>
      </c>
      <c r="E103" s="10">
        <v>0</v>
      </c>
      <c r="F103" s="10">
        <v>1.81</v>
      </c>
      <c r="G103" s="10">
        <v>0.93</v>
      </c>
      <c r="H103" s="10">
        <v>7.6</v>
      </c>
      <c r="I103" s="10">
        <v>20.46</v>
      </c>
      <c r="J103" s="7">
        <f t="shared" si="30"/>
        <v>21.34</v>
      </c>
      <c r="K103" s="10">
        <v>63.59</v>
      </c>
      <c r="L103" s="7">
        <v>36.409999999999997</v>
      </c>
      <c r="M103" s="10">
        <v>87042</v>
      </c>
      <c r="N103" s="10">
        <v>4039</v>
      </c>
      <c r="O103" s="7">
        <f t="shared" si="31"/>
        <v>83003</v>
      </c>
      <c r="P103" s="10">
        <f>ROUND($C103+MIN($D103:$E103)*(1-SUMIFS(PrefFlows!$C:$C,PrefFlows!$A:$A,INDEX($D$1:$E$1,MATCH(MIN($D103:$E103),$D103:$E103,0)),PrefFlows!$B:$B,$B103)),2)</f>
        <v>16.489999999999998</v>
      </c>
      <c r="Q103" s="10">
        <f>ROUND(MAX($D103:$E103)+MIN($D103:$E103)*SUMIFS(PrefFlows!$C:$C,PrefFlows!$A:$A,INDEX($D$1:$E$1,MATCH(MIN($D103:$E103),$D103:$E103,0)),PrefFlows!$B:$B,$B103),2)</f>
        <v>53.64</v>
      </c>
      <c r="R103" s="10">
        <f t="shared" si="32"/>
        <v>0.93</v>
      </c>
      <c r="S103" s="10">
        <f t="shared" si="33"/>
        <v>7.6</v>
      </c>
      <c r="T103" s="7">
        <f t="shared" si="34"/>
        <v>21.34</v>
      </c>
      <c r="U103" s="9">
        <f t="shared" si="35"/>
        <v>37.15</v>
      </c>
      <c r="V103" s="10">
        <f>ROUND($R103*SUMIFS(PrefFlows!$C:$C,PrefFlows!$A:$A,$R$1,PrefFlows!$B:$B,$B103)+$S103*SUMIFS(PrefFlows!$C:$C,PrefFlows!$A:$A,$S$1,PrefFlows!$B:$B,$B103)+$T103*SUMIFS(PrefFlows!$C:$C,PrefFlows!$A:$A,$T$1,PrefFlows!$B:$B,$B103),2)</f>
        <v>13.02</v>
      </c>
      <c r="W103" s="7">
        <f>ROUND($R103*(1-SUMIFS(PrefFlows!$C:$C,PrefFlows!$A:$A,$R$1,PrefFlows!$B:$B,$B103))+$S103*(1-SUMIFS(PrefFlows!$C:$C,PrefFlows!$A:$A,$S$1,PrefFlows!$B:$B,$B103))+$T103*(1-SUMIFS(PrefFlows!$C:$C,PrefFlows!$A:$A,$T$1,PrefFlows!$B:$B,$B103)),2)</f>
        <v>16.850000000000001</v>
      </c>
      <c r="X103" s="10">
        <f t="shared" si="36"/>
        <v>9.9499999999999993</v>
      </c>
      <c r="Y103" s="7">
        <f t="shared" si="37"/>
        <v>19.920000000000002</v>
      </c>
      <c r="Z103" s="10">
        <f t="shared" si="38"/>
        <v>0.43590000000000001</v>
      </c>
      <c r="AA103" s="10">
        <f t="shared" si="39"/>
        <v>0.33310000000000001</v>
      </c>
      <c r="AB103" s="10">
        <f t="shared" si="40"/>
        <v>-0.1028</v>
      </c>
      <c r="AC103" s="7">
        <v>-2.6490767755754398E-2</v>
      </c>
      <c r="AD103" s="10">
        <f>ROUND(R103*(1-(Exhaust!$B$2+AC103)),2)</f>
        <v>0.43</v>
      </c>
      <c r="AE103" s="10">
        <f>ROUND(S103*(1-(Exhaust!$B$3+$AC103)),2)</f>
        <v>4.76</v>
      </c>
      <c r="AF103" s="7">
        <f>ROUND(T103*(1-(Exhaust!$B$4+$AC103)),2)</f>
        <v>11.24</v>
      </c>
      <c r="AG103" s="10">
        <f>ROUND($AD103*(SUMIFS(PrefFlows!$C:$C,PrefFlows!$A:$A,$R$1,PrefFlows!$B:$B,$B103)+$AB103)+$AE103*(SUMIFS(PrefFlows!$C:$C,PrefFlows!$A:$A,$S$1,PrefFlows!$B:$B,$B103)+$AB103)+$AF103*(SUMIFS(PrefFlows!$C:$C,PrefFlows!$A:$A,$T$1,PrefFlows!$B:$B,$B103)+$AB103),2)</f>
        <v>5.29</v>
      </c>
      <c r="AH103" s="7">
        <f>ROUND($AD103*(1-(SUMIFS(PrefFlows!$C:$C,PrefFlows!$A:$A,$R$1,PrefFlows!$B:$B,$B103)+$AB103))+$AE103*(1-(SUMIFS(PrefFlows!$C:$C,PrefFlows!$A:$A,$S$1,PrefFlows!$B:$B,$B103)+$AB103))+$AF103*(1-(SUMIFS(PrefFlows!$C:$C,PrefFlows!$A:$A,$T$1,PrefFlows!$B:$B,$B103)+$AB103)),2)</f>
        <v>11.14</v>
      </c>
      <c r="AI103" s="10">
        <f t="shared" si="41"/>
        <v>58.93</v>
      </c>
      <c r="AJ103" s="7">
        <f t="shared" si="42"/>
        <v>27.63</v>
      </c>
      <c r="AK103" s="10">
        <f t="shared" si="43"/>
        <v>68.08</v>
      </c>
      <c r="AL103" s="7">
        <f t="shared" si="43"/>
        <v>31.92</v>
      </c>
      <c r="AM103" s="1">
        <f t="shared" si="48"/>
        <v>13.59</v>
      </c>
      <c r="AN103" s="1">
        <f t="shared" si="49"/>
        <v>18.66</v>
      </c>
      <c r="AO103" s="7">
        <f t="shared" si="50"/>
        <v>18.079999999999998</v>
      </c>
      <c r="AP103" s="1" t="b">
        <f t="shared" si="44"/>
        <v>0</v>
      </c>
      <c r="AQ103" s="1" t="b">
        <f t="shared" si="44"/>
        <v>0</v>
      </c>
      <c r="AR103" s="7" t="b">
        <f t="shared" si="45"/>
        <v>0</v>
      </c>
      <c r="AS103" s="1">
        <f t="shared" si="46"/>
        <v>5.07</v>
      </c>
      <c r="AT103" s="1">
        <f t="shared" si="46"/>
        <v>4.4899999999999984</v>
      </c>
      <c r="AU103" s="7">
        <f t="shared" si="47"/>
        <v>0.58000000000000185</v>
      </c>
      <c r="AV103" s="1">
        <f>ROUND(IF(B103="NSW",N103*Meta!$B$6,N103),1)</f>
        <v>4039</v>
      </c>
      <c r="AW103" s="7">
        <f t="shared" si="51"/>
        <v>73195.199999999997</v>
      </c>
    </row>
    <row r="104" spans="1:49" x14ac:dyDescent="0.55000000000000004">
      <c r="A104" s="11" t="s">
        <v>117</v>
      </c>
      <c r="B104" s="7" t="s">
        <v>10</v>
      </c>
      <c r="C104" s="10">
        <v>34.549999999999997</v>
      </c>
      <c r="D104" s="10">
        <v>51.74</v>
      </c>
      <c r="E104" s="10">
        <v>0</v>
      </c>
      <c r="F104" s="10">
        <v>0.82</v>
      </c>
      <c r="G104" s="10">
        <v>0</v>
      </c>
      <c r="H104" s="10">
        <v>7.65</v>
      </c>
      <c r="I104" s="10">
        <v>5.24</v>
      </c>
      <c r="J104" s="7">
        <f t="shared" si="30"/>
        <v>6.06</v>
      </c>
      <c r="K104" s="10">
        <v>56.42</v>
      </c>
      <c r="L104" s="7">
        <v>43.58</v>
      </c>
      <c r="M104" s="10">
        <v>91691</v>
      </c>
      <c r="N104" s="10">
        <v>4273</v>
      </c>
      <c r="O104" s="7">
        <f t="shared" si="31"/>
        <v>87418</v>
      </c>
      <c r="P104" s="10">
        <f>ROUND($C104+MIN($D104:$E104)*(1-SUMIFS(PrefFlows!$C:$C,PrefFlows!$A:$A,INDEX($D$1:$E$1,MATCH(MIN($D104:$E104),$D104:$E104,0)),PrefFlows!$B:$B,$B104)),2)</f>
        <v>34.549999999999997</v>
      </c>
      <c r="Q104" s="10">
        <f>ROUND(MAX($D104:$E104)+MIN($D104:$E104)*SUMIFS(PrefFlows!$C:$C,PrefFlows!$A:$A,INDEX($D$1:$E$1,MATCH(MIN($D104:$E104),$D104:$E104,0)),PrefFlows!$B:$B,$B104),2)</f>
        <v>51.74</v>
      </c>
      <c r="R104" s="10">
        <f t="shared" si="32"/>
        <v>0</v>
      </c>
      <c r="S104" s="10">
        <f t="shared" si="33"/>
        <v>7.65</v>
      </c>
      <c r="T104" s="7">
        <f t="shared" si="34"/>
        <v>6.06</v>
      </c>
      <c r="U104" s="9">
        <f t="shared" si="35"/>
        <v>17.190000000000001</v>
      </c>
      <c r="V104" s="10">
        <f>ROUND($R104*SUMIFS(PrefFlows!$C:$C,PrefFlows!$A:$A,$R$1,PrefFlows!$B:$B,$B104)+$S104*SUMIFS(PrefFlows!$C:$C,PrefFlows!$A:$A,$S$1,PrefFlows!$B:$B,$B104)+$T104*SUMIFS(PrefFlows!$C:$C,PrefFlows!$A:$A,$T$1,PrefFlows!$B:$B,$B104),2)</f>
        <v>4.47</v>
      </c>
      <c r="W104" s="7">
        <f>ROUND($R104*(1-SUMIFS(PrefFlows!$C:$C,PrefFlows!$A:$A,$R$1,PrefFlows!$B:$B,$B104))+$S104*(1-SUMIFS(PrefFlows!$C:$C,PrefFlows!$A:$A,$S$1,PrefFlows!$B:$B,$B104))+$T104*(1-SUMIFS(PrefFlows!$C:$C,PrefFlows!$A:$A,$T$1,PrefFlows!$B:$B,$B104)),2)</f>
        <v>9.24</v>
      </c>
      <c r="X104" s="10">
        <f t="shared" si="36"/>
        <v>4.68</v>
      </c>
      <c r="Y104" s="7">
        <f t="shared" si="37"/>
        <v>9.0299999999999994</v>
      </c>
      <c r="Z104" s="10">
        <f t="shared" si="38"/>
        <v>0.32600000000000001</v>
      </c>
      <c r="AA104" s="10">
        <f t="shared" si="39"/>
        <v>0.34139999999999998</v>
      </c>
      <c r="AB104" s="10">
        <f t="shared" si="40"/>
        <v>1.54E-2</v>
      </c>
      <c r="AC104" s="7">
        <v>-3.4446316890078398E-2</v>
      </c>
      <c r="AD104" s="10">
        <f>ROUND(R104*(1-(Exhaust!$B$2+AC104)),2)</f>
        <v>0</v>
      </c>
      <c r="AE104" s="10">
        <f>ROUND(S104*(1-(Exhaust!$B$3+$AC104)),2)</f>
        <v>4.8499999999999996</v>
      </c>
      <c r="AF104" s="7">
        <f>ROUND(T104*(1-(Exhaust!$B$4+$AC104)),2)</f>
        <v>3.24</v>
      </c>
      <c r="AG104" s="10">
        <f>ROUND($AD104*(SUMIFS(PrefFlows!$C:$C,PrefFlows!$A:$A,$R$1,PrefFlows!$B:$B,$B104)+$AB104)+$AE104*(SUMIFS(PrefFlows!$C:$C,PrefFlows!$A:$A,$S$1,PrefFlows!$B:$B,$B104)+$AB104)+$AF104*(SUMIFS(PrefFlows!$C:$C,PrefFlows!$A:$A,$T$1,PrefFlows!$B:$B,$B104)+$AB104),2)</f>
        <v>2.64</v>
      </c>
      <c r="AH104" s="7">
        <f>ROUND($AD104*(1-(SUMIFS(PrefFlows!$C:$C,PrefFlows!$A:$A,$R$1,PrefFlows!$B:$B,$B104)+$AB104))+$AE104*(1-(SUMIFS(PrefFlows!$C:$C,PrefFlows!$A:$A,$S$1,PrefFlows!$B:$B,$B104)+$AB104))+$AF104*(1-(SUMIFS(PrefFlows!$C:$C,PrefFlows!$A:$A,$T$1,PrefFlows!$B:$B,$B104)+$AB104)),2)</f>
        <v>5.45</v>
      </c>
      <c r="AI104" s="10">
        <f t="shared" si="41"/>
        <v>54.38</v>
      </c>
      <c r="AJ104" s="7">
        <f t="shared" si="42"/>
        <v>40</v>
      </c>
      <c r="AK104" s="10">
        <f t="shared" si="43"/>
        <v>57.62</v>
      </c>
      <c r="AL104" s="7">
        <f t="shared" si="43"/>
        <v>42.38</v>
      </c>
      <c r="AM104" s="1">
        <f t="shared" si="48"/>
        <v>6.42</v>
      </c>
      <c r="AN104" s="1">
        <f t="shared" si="49"/>
        <v>7.99</v>
      </c>
      <c r="AO104" s="7">
        <f t="shared" si="50"/>
        <v>7.62</v>
      </c>
      <c r="AP104" s="1" t="b">
        <f t="shared" si="44"/>
        <v>0</v>
      </c>
      <c r="AQ104" s="1" t="b">
        <f t="shared" si="44"/>
        <v>0</v>
      </c>
      <c r="AR104" s="7" t="b">
        <f t="shared" si="45"/>
        <v>0</v>
      </c>
      <c r="AS104" s="1">
        <f t="shared" si="46"/>
        <v>1.5700000000000003</v>
      </c>
      <c r="AT104" s="1">
        <f t="shared" si="46"/>
        <v>1.2000000000000002</v>
      </c>
      <c r="AU104" s="7">
        <f t="shared" si="47"/>
        <v>0.37000000000000011</v>
      </c>
      <c r="AV104" s="1">
        <f>ROUND(IF(B104="NSW",N104*Meta!$B$6,N104),1)</f>
        <v>4273</v>
      </c>
      <c r="AW104" s="7">
        <f t="shared" si="51"/>
        <v>84059.8</v>
      </c>
    </row>
    <row r="105" spans="1:49" x14ac:dyDescent="0.55000000000000004">
      <c r="A105" s="11" t="s">
        <v>118</v>
      </c>
      <c r="B105" s="7" t="s">
        <v>10</v>
      </c>
      <c r="C105" s="10">
        <v>37.86</v>
      </c>
      <c r="D105" s="10">
        <v>42.93</v>
      </c>
      <c r="E105" s="10">
        <v>8.85</v>
      </c>
      <c r="F105" s="10">
        <v>0.85</v>
      </c>
      <c r="G105" s="10">
        <v>1.38</v>
      </c>
      <c r="H105" s="10">
        <v>4.4800000000000004</v>
      </c>
      <c r="I105" s="10">
        <v>5.03</v>
      </c>
      <c r="J105" s="7">
        <f t="shared" si="30"/>
        <v>4.5</v>
      </c>
      <c r="K105" s="10">
        <v>54.99</v>
      </c>
      <c r="L105" s="7">
        <v>45.01</v>
      </c>
      <c r="M105" s="10">
        <v>78974</v>
      </c>
      <c r="N105" s="10">
        <v>3543</v>
      </c>
      <c r="O105" s="7">
        <f t="shared" si="31"/>
        <v>75431</v>
      </c>
      <c r="P105" s="10">
        <f>ROUND($C105+MIN($D105:$E105)*(1-SUMIFS(PrefFlows!$C:$C,PrefFlows!$A:$A,INDEX($D$1:$E$1,MATCH(MIN($D105:$E105),$D105:$E105,0)),PrefFlows!$B:$B,$B105)),2)</f>
        <v>38.840000000000003</v>
      </c>
      <c r="Q105" s="10">
        <f>ROUND(MAX($D105:$E105)+MIN($D105:$E105)*SUMIFS(PrefFlows!$C:$C,PrefFlows!$A:$A,INDEX($D$1:$E$1,MATCH(MIN($D105:$E105),$D105:$E105,0)),PrefFlows!$B:$B,$B105),2)</f>
        <v>50.8</v>
      </c>
      <c r="R105" s="10">
        <f t="shared" si="32"/>
        <v>1.38</v>
      </c>
      <c r="S105" s="10">
        <f t="shared" si="33"/>
        <v>4.4800000000000004</v>
      </c>
      <c r="T105" s="7">
        <f t="shared" si="34"/>
        <v>4.5</v>
      </c>
      <c r="U105" s="9">
        <f t="shared" si="35"/>
        <v>11.96</v>
      </c>
      <c r="V105" s="10">
        <f>ROUND($R105*SUMIFS(PrefFlows!$C:$C,PrefFlows!$A:$A,$R$1,PrefFlows!$B:$B,$B105)+$S105*SUMIFS(PrefFlows!$C:$C,PrefFlows!$A:$A,$S$1,PrefFlows!$B:$B,$B105)+$T105*SUMIFS(PrefFlows!$C:$C,PrefFlows!$A:$A,$T$1,PrefFlows!$B:$B,$B105),2)</f>
        <v>3.91</v>
      </c>
      <c r="W105" s="7">
        <f>ROUND($R105*(1-SUMIFS(PrefFlows!$C:$C,PrefFlows!$A:$A,$R$1,PrefFlows!$B:$B,$B105))+$S105*(1-SUMIFS(PrefFlows!$C:$C,PrefFlows!$A:$A,$S$1,PrefFlows!$B:$B,$B105))+$T105*(1-SUMIFS(PrefFlows!$C:$C,PrefFlows!$A:$A,$T$1,PrefFlows!$B:$B,$B105)),2)</f>
        <v>6.45</v>
      </c>
      <c r="X105" s="10">
        <f t="shared" si="36"/>
        <v>4.1900000000000004</v>
      </c>
      <c r="Y105" s="7">
        <f t="shared" si="37"/>
        <v>6.17</v>
      </c>
      <c r="Z105" s="10">
        <f t="shared" si="38"/>
        <v>0.37740000000000001</v>
      </c>
      <c r="AA105" s="10">
        <f t="shared" si="39"/>
        <v>0.40439999999999998</v>
      </c>
      <c r="AB105" s="10">
        <f t="shared" si="40"/>
        <v>2.7E-2</v>
      </c>
      <c r="AC105" s="7">
        <v>6.9223521260508604E-3</v>
      </c>
      <c r="AD105" s="10">
        <f>ROUND(R105*(1-(Exhaust!$B$2+AC105)),2)</f>
        <v>0.6</v>
      </c>
      <c r="AE105" s="10">
        <f>ROUND(S105*(1-(Exhaust!$B$3+$AC105)),2)</f>
        <v>2.66</v>
      </c>
      <c r="AF105" s="7">
        <f>ROUND(T105*(1-(Exhaust!$B$4+$AC105)),2)</f>
        <v>2.2200000000000002</v>
      </c>
      <c r="AG105" s="10">
        <f>ROUND($AD105*(SUMIFS(PrefFlows!$C:$C,PrefFlows!$A:$A,$R$1,PrefFlows!$B:$B,$B105)+$AB105)+$AE105*(SUMIFS(PrefFlows!$C:$C,PrefFlows!$A:$A,$S$1,PrefFlows!$B:$B,$B105)+$AB105)+$AF105*(SUMIFS(PrefFlows!$C:$C,PrefFlows!$A:$A,$T$1,PrefFlows!$B:$B,$B105)+$AB105),2)</f>
        <v>2.11</v>
      </c>
      <c r="AH105" s="7">
        <f>ROUND($AD105*(1-(SUMIFS(PrefFlows!$C:$C,PrefFlows!$A:$A,$R$1,PrefFlows!$B:$B,$B105)+$AB105))+$AE105*(1-(SUMIFS(PrefFlows!$C:$C,PrefFlows!$A:$A,$S$1,PrefFlows!$B:$B,$B105)+$AB105))+$AF105*(1-(SUMIFS(PrefFlows!$C:$C,PrefFlows!$A:$A,$T$1,PrefFlows!$B:$B,$B105)+$AB105)),2)</f>
        <v>3.37</v>
      </c>
      <c r="AI105" s="10">
        <f t="shared" si="41"/>
        <v>52.91</v>
      </c>
      <c r="AJ105" s="7">
        <f t="shared" si="42"/>
        <v>42.21</v>
      </c>
      <c r="AK105" s="10">
        <f t="shared" si="43"/>
        <v>55.62</v>
      </c>
      <c r="AL105" s="7">
        <f t="shared" si="43"/>
        <v>44.38</v>
      </c>
      <c r="AM105" s="1">
        <f t="shared" si="48"/>
        <v>4.99</v>
      </c>
      <c r="AN105" s="1">
        <f t="shared" si="49"/>
        <v>5.75</v>
      </c>
      <c r="AO105" s="7">
        <f t="shared" si="50"/>
        <v>5.62</v>
      </c>
      <c r="AP105" s="1" t="b">
        <f t="shared" si="44"/>
        <v>0</v>
      </c>
      <c r="AQ105" s="1" t="b">
        <f t="shared" si="44"/>
        <v>0</v>
      </c>
      <c r="AR105" s="7" t="b">
        <f t="shared" si="45"/>
        <v>0</v>
      </c>
      <c r="AS105" s="1">
        <f t="shared" si="46"/>
        <v>0.75999999999999979</v>
      </c>
      <c r="AT105" s="1">
        <f t="shared" si="46"/>
        <v>0.62999999999999989</v>
      </c>
      <c r="AU105" s="7">
        <f t="shared" si="47"/>
        <v>0.12999999999999989</v>
      </c>
      <c r="AV105" s="1">
        <f>ROUND(IF(B105="NSW",N105*Meta!$B$6,N105),1)</f>
        <v>3543</v>
      </c>
      <c r="AW105" s="7">
        <f t="shared" si="51"/>
        <v>73049.2</v>
      </c>
    </row>
    <row r="106" spans="1:49" x14ac:dyDescent="0.55000000000000004">
      <c r="A106" s="11" t="s">
        <v>119</v>
      </c>
      <c r="B106" s="7" t="s">
        <v>23</v>
      </c>
      <c r="C106" s="10">
        <v>30.13</v>
      </c>
      <c r="D106" s="10">
        <v>58.95</v>
      </c>
      <c r="E106" s="10">
        <v>0</v>
      </c>
      <c r="F106" s="10">
        <v>1.08</v>
      </c>
      <c r="G106" s="10">
        <v>1.84</v>
      </c>
      <c r="H106" s="10">
        <v>5.18</v>
      </c>
      <c r="I106" s="10">
        <v>4.66</v>
      </c>
      <c r="J106" s="7">
        <f t="shared" si="30"/>
        <v>3.9</v>
      </c>
      <c r="K106" s="10">
        <v>63.89</v>
      </c>
      <c r="L106" s="7">
        <v>36.11</v>
      </c>
      <c r="M106" s="10">
        <v>77217</v>
      </c>
      <c r="N106" s="10">
        <v>4069</v>
      </c>
      <c r="O106" s="7">
        <f t="shared" si="31"/>
        <v>73148</v>
      </c>
      <c r="P106" s="10">
        <f>ROUND($C106+MIN($D106:$E106)*(1-SUMIFS(PrefFlows!$C:$C,PrefFlows!$A:$A,INDEX($D$1:$E$1,MATCH(MIN($D106:$E106),$D106:$E106,0)),PrefFlows!$B:$B,$B106)),2)</f>
        <v>30.13</v>
      </c>
      <c r="Q106" s="10">
        <f>ROUND(MAX($D106:$E106)+MIN($D106:$E106)*SUMIFS(PrefFlows!$C:$C,PrefFlows!$A:$A,INDEX($D$1:$E$1,MATCH(MIN($D106:$E106),$D106:$E106,0)),PrefFlows!$B:$B,$B106),2)</f>
        <v>58.95</v>
      </c>
      <c r="R106" s="10">
        <f t="shared" si="32"/>
        <v>1.84</v>
      </c>
      <c r="S106" s="10">
        <f t="shared" si="33"/>
        <v>5.18</v>
      </c>
      <c r="T106" s="7">
        <f t="shared" si="34"/>
        <v>3.9</v>
      </c>
      <c r="U106" s="9">
        <f t="shared" si="35"/>
        <v>28.82</v>
      </c>
      <c r="V106" s="10">
        <f>ROUND($R106*SUMIFS(PrefFlows!$C:$C,PrefFlows!$A:$A,$R$1,PrefFlows!$B:$B,$B106)+$S106*SUMIFS(PrefFlows!$C:$C,PrefFlows!$A:$A,$S$1,PrefFlows!$B:$B,$B106)+$T106*SUMIFS(PrefFlows!$C:$C,PrefFlows!$A:$A,$T$1,PrefFlows!$B:$B,$B106),2)</f>
        <v>4.38</v>
      </c>
      <c r="W106" s="7">
        <f>ROUND($R106*(1-SUMIFS(PrefFlows!$C:$C,PrefFlows!$A:$A,$R$1,PrefFlows!$B:$B,$B106))+$S106*(1-SUMIFS(PrefFlows!$C:$C,PrefFlows!$A:$A,$S$1,PrefFlows!$B:$B,$B106))+$T106*(1-SUMIFS(PrefFlows!$C:$C,PrefFlows!$A:$A,$T$1,PrefFlows!$B:$B,$B106)),2)</f>
        <v>6.54</v>
      </c>
      <c r="X106" s="10">
        <f t="shared" si="36"/>
        <v>4.9400000000000004</v>
      </c>
      <c r="Y106" s="7">
        <f t="shared" si="37"/>
        <v>5.98</v>
      </c>
      <c r="Z106" s="10">
        <f t="shared" si="38"/>
        <v>0.40110000000000001</v>
      </c>
      <c r="AA106" s="10">
        <f t="shared" si="39"/>
        <v>0.45240000000000002</v>
      </c>
      <c r="AB106" s="10">
        <f t="shared" si="40"/>
        <v>5.1299999999999998E-2</v>
      </c>
      <c r="AC106" s="7">
        <v>8.9408988735122194E-2</v>
      </c>
      <c r="AD106" s="10">
        <f>ROUND(R106*(1-(Exhaust!$B$2+AC106)),2)</f>
        <v>0.65</v>
      </c>
      <c r="AE106" s="10">
        <f>ROUND(S106*(1-(Exhaust!$B$3+$AC106)),2)</f>
        <v>2.64</v>
      </c>
      <c r="AF106" s="7">
        <f>ROUND(T106*(1-(Exhaust!$B$4+$AC106)),2)</f>
        <v>1.6</v>
      </c>
      <c r="AG106" s="10">
        <f>ROUND($AD106*(SUMIFS(PrefFlows!$C:$C,PrefFlows!$A:$A,$R$1,PrefFlows!$B:$B,$B106)+$AB106)+$AE106*(SUMIFS(PrefFlows!$C:$C,PrefFlows!$A:$A,$S$1,PrefFlows!$B:$B,$B106)+$AB106)+$AF106*(SUMIFS(PrefFlows!$C:$C,PrefFlows!$A:$A,$T$1,PrefFlows!$B:$B,$B106)+$AB106),2)</f>
        <v>2.11</v>
      </c>
      <c r="AH106" s="7">
        <f>ROUND($AD106*(1-(SUMIFS(PrefFlows!$C:$C,PrefFlows!$A:$A,$R$1,PrefFlows!$B:$B,$B106)+$AB106))+$AE106*(1-(SUMIFS(PrefFlows!$C:$C,PrefFlows!$A:$A,$S$1,PrefFlows!$B:$B,$B106)+$AB106))+$AF106*(1-(SUMIFS(PrefFlows!$C:$C,PrefFlows!$A:$A,$T$1,PrefFlows!$B:$B,$B106)+$AB106)),2)</f>
        <v>2.78</v>
      </c>
      <c r="AI106" s="10">
        <f t="shared" si="41"/>
        <v>61.06</v>
      </c>
      <c r="AJ106" s="7">
        <f t="shared" si="42"/>
        <v>32.909999999999997</v>
      </c>
      <c r="AK106" s="10">
        <f t="shared" si="43"/>
        <v>64.98</v>
      </c>
      <c r="AL106" s="7">
        <f t="shared" si="43"/>
        <v>35.020000000000003</v>
      </c>
      <c r="AM106" s="1">
        <f t="shared" si="48"/>
        <v>13.89</v>
      </c>
      <c r="AN106" s="1">
        <f t="shared" si="49"/>
        <v>14.92</v>
      </c>
      <c r="AO106" s="7">
        <f t="shared" si="50"/>
        <v>14.98</v>
      </c>
      <c r="AP106" s="1" t="b">
        <f t="shared" si="44"/>
        <v>0</v>
      </c>
      <c r="AQ106" s="1" t="b">
        <f t="shared" si="44"/>
        <v>0</v>
      </c>
      <c r="AR106" s="7" t="b">
        <f t="shared" si="45"/>
        <v>0</v>
      </c>
      <c r="AS106" s="1">
        <f t="shared" si="46"/>
        <v>1.0299999999999994</v>
      </c>
      <c r="AT106" s="1">
        <f t="shared" si="46"/>
        <v>1.0899999999999999</v>
      </c>
      <c r="AU106" s="7">
        <f t="shared" si="47"/>
        <v>6.0000000000000497E-2</v>
      </c>
      <c r="AV106" s="1">
        <f>ROUND(IF(B106="NSW",N106*Meta!$B$6,N106),1)</f>
        <v>4069</v>
      </c>
      <c r="AW106" s="7">
        <f t="shared" si="51"/>
        <v>70211.199999999997</v>
      </c>
    </row>
    <row r="107" spans="1:49" x14ac:dyDescent="0.55000000000000004">
      <c r="A107" s="11" t="s">
        <v>120</v>
      </c>
      <c r="B107" s="7" t="s">
        <v>10</v>
      </c>
      <c r="C107" s="10">
        <v>51.78</v>
      </c>
      <c r="D107" s="10">
        <v>25.09</v>
      </c>
      <c r="E107" s="10">
        <v>0</v>
      </c>
      <c r="F107" s="10">
        <v>1.63</v>
      </c>
      <c r="G107" s="10">
        <v>0</v>
      </c>
      <c r="H107" s="10">
        <v>18.98</v>
      </c>
      <c r="I107" s="10">
        <v>2.52</v>
      </c>
      <c r="J107" s="7">
        <f t="shared" si="30"/>
        <v>4.1500000000000004</v>
      </c>
      <c r="K107" s="10">
        <v>28.86</v>
      </c>
      <c r="L107" s="7">
        <v>71.14</v>
      </c>
      <c r="M107" s="10">
        <v>83945</v>
      </c>
      <c r="N107" s="10">
        <v>2741</v>
      </c>
      <c r="O107" s="7">
        <f t="shared" si="31"/>
        <v>81204</v>
      </c>
      <c r="P107" s="10">
        <f>ROUND($C107+MIN($D107:$E107)*(1-SUMIFS(PrefFlows!$C:$C,PrefFlows!$A:$A,INDEX($D$1:$E$1,MATCH(MIN($D107:$E107),$D107:$E107,0)),PrefFlows!$B:$B,$B107)),2)</f>
        <v>51.78</v>
      </c>
      <c r="Q107" s="10">
        <f>ROUND(MAX($D107:$E107)+MIN($D107:$E107)*SUMIFS(PrefFlows!$C:$C,PrefFlows!$A:$A,INDEX($D$1:$E$1,MATCH(MIN($D107:$E107),$D107:$E107,0)),PrefFlows!$B:$B,$B107),2)</f>
        <v>25.09</v>
      </c>
      <c r="R107" s="10">
        <f t="shared" si="32"/>
        <v>0</v>
      </c>
      <c r="S107" s="10">
        <f t="shared" si="33"/>
        <v>18.98</v>
      </c>
      <c r="T107" s="7">
        <f t="shared" si="34"/>
        <v>4.1500000000000004</v>
      </c>
      <c r="U107" s="9">
        <f t="shared" si="35"/>
        <v>-26.69</v>
      </c>
      <c r="V107" s="10">
        <f>ROUND($R107*SUMIFS(PrefFlows!$C:$C,PrefFlows!$A:$A,$R$1,PrefFlows!$B:$B,$B107)+$S107*SUMIFS(PrefFlows!$C:$C,PrefFlows!$A:$A,$S$1,PrefFlows!$B:$B,$B107)+$T107*SUMIFS(PrefFlows!$C:$C,PrefFlows!$A:$A,$T$1,PrefFlows!$B:$B,$B107),2)</f>
        <v>5.38</v>
      </c>
      <c r="W107" s="7">
        <f>ROUND($R107*(1-SUMIFS(PrefFlows!$C:$C,PrefFlows!$A:$A,$R$1,PrefFlows!$B:$B,$B107))+$S107*(1-SUMIFS(PrefFlows!$C:$C,PrefFlows!$A:$A,$S$1,PrefFlows!$B:$B,$B107))+$T107*(1-SUMIFS(PrefFlows!$C:$C,PrefFlows!$A:$A,$T$1,PrefFlows!$B:$B,$B107)),2)</f>
        <v>17.75</v>
      </c>
      <c r="X107" s="10">
        <f t="shared" si="36"/>
        <v>3.77</v>
      </c>
      <c r="Y107" s="7">
        <f t="shared" si="37"/>
        <v>19.36</v>
      </c>
      <c r="Z107" s="10">
        <f t="shared" si="38"/>
        <v>0.2326</v>
      </c>
      <c r="AA107" s="10">
        <f t="shared" si="39"/>
        <v>0.16300000000000001</v>
      </c>
      <c r="AB107" s="10">
        <f t="shared" si="40"/>
        <v>-6.9599999999999995E-2</v>
      </c>
      <c r="AC107" s="7">
        <v>-0.129640448788295</v>
      </c>
      <c r="AD107" s="10">
        <f>ROUND(R107*(1-(Exhaust!$B$2+AC107)),2)</f>
        <v>0</v>
      </c>
      <c r="AE107" s="10">
        <f>ROUND(S107*(1-(Exhaust!$B$3+$AC107)),2)</f>
        <v>13.85</v>
      </c>
      <c r="AF107" s="7">
        <f>ROUND(T107*(1-(Exhaust!$B$4+$AC107)),2)</f>
        <v>2.61</v>
      </c>
      <c r="AG107" s="10">
        <f>ROUND($AD107*(SUMIFS(PrefFlows!$C:$C,PrefFlows!$A:$A,$R$1,PrefFlows!$B:$B,$B107)+$AB107)+$AE107*(SUMIFS(PrefFlows!$C:$C,PrefFlows!$A:$A,$S$1,PrefFlows!$B:$B,$B107)+$AB107)+$AF107*(SUMIFS(PrefFlows!$C:$C,PrefFlows!$A:$A,$T$1,PrefFlows!$B:$B,$B107)+$AB107),2)</f>
        <v>2.56</v>
      </c>
      <c r="AH107" s="7">
        <f>ROUND($AD107*(1-(SUMIFS(PrefFlows!$C:$C,PrefFlows!$A:$A,$R$1,PrefFlows!$B:$B,$B107)+$AB107))+$AE107*(1-(SUMIFS(PrefFlows!$C:$C,PrefFlows!$A:$A,$S$1,PrefFlows!$B:$B,$B107)+$AB107))+$AF107*(1-(SUMIFS(PrefFlows!$C:$C,PrefFlows!$A:$A,$T$1,PrefFlows!$B:$B,$B107)+$AB107)),2)</f>
        <v>13.9</v>
      </c>
      <c r="AI107" s="10">
        <f t="shared" si="41"/>
        <v>27.65</v>
      </c>
      <c r="AJ107" s="7">
        <f t="shared" si="42"/>
        <v>65.680000000000007</v>
      </c>
      <c r="AK107" s="10">
        <f t="shared" si="43"/>
        <v>29.63</v>
      </c>
      <c r="AL107" s="7">
        <f t="shared" si="43"/>
        <v>70.37</v>
      </c>
      <c r="AM107" s="1">
        <f t="shared" si="48"/>
        <v>-21.14</v>
      </c>
      <c r="AN107" s="1">
        <f t="shared" si="49"/>
        <v>-19.57</v>
      </c>
      <c r="AO107" s="7">
        <f t="shared" si="50"/>
        <v>-20.37</v>
      </c>
      <c r="AP107" s="1" t="b">
        <f t="shared" si="44"/>
        <v>0</v>
      </c>
      <c r="AQ107" s="1" t="b">
        <f t="shared" si="44"/>
        <v>0</v>
      </c>
      <c r="AR107" s="7" t="b">
        <f t="shared" si="45"/>
        <v>0</v>
      </c>
      <c r="AS107" s="1">
        <f t="shared" si="46"/>
        <v>1.5700000000000003</v>
      </c>
      <c r="AT107" s="1">
        <f t="shared" si="46"/>
        <v>0.76999999999999957</v>
      </c>
      <c r="AU107" s="7">
        <f t="shared" si="47"/>
        <v>0.80000000000000071</v>
      </c>
      <c r="AV107" s="1">
        <f>ROUND(IF(B107="NSW",N107*Meta!$B$6,N107),1)</f>
        <v>2741</v>
      </c>
      <c r="AW107" s="7">
        <f t="shared" si="51"/>
        <v>76773.899999999994</v>
      </c>
    </row>
    <row r="108" spans="1:49" x14ac:dyDescent="0.55000000000000004">
      <c r="A108" s="11" t="s">
        <v>121</v>
      </c>
      <c r="B108" s="7" t="s">
        <v>10</v>
      </c>
      <c r="C108" s="10">
        <v>39.25</v>
      </c>
      <c r="D108" s="10">
        <v>42.94</v>
      </c>
      <c r="E108" s="10">
        <v>0</v>
      </c>
      <c r="F108" s="10">
        <v>1.35</v>
      </c>
      <c r="G108" s="10">
        <v>0</v>
      </c>
      <c r="H108" s="10">
        <v>14.1</v>
      </c>
      <c r="I108" s="10">
        <v>2.36</v>
      </c>
      <c r="J108" s="7">
        <f t="shared" si="30"/>
        <v>3.71</v>
      </c>
      <c r="K108" s="10">
        <v>46.26</v>
      </c>
      <c r="L108" s="7">
        <v>53.74</v>
      </c>
      <c r="M108" s="10">
        <v>84511</v>
      </c>
      <c r="N108" s="10">
        <v>2875</v>
      </c>
      <c r="O108" s="7">
        <f t="shared" si="31"/>
        <v>81636</v>
      </c>
      <c r="P108" s="10">
        <f>ROUND($C108+MIN($D108:$E108)*(1-SUMIFS(PrefFlows!$C:$C,PrefFlows!$A:$A,INDEX($D$1:$E$1,MATCH(MIN($D108:$E108),$D108:$E108,0)),PrefFlows!$B:$B,$B108)),2)</f>
        <v>39.25</v>
      </c>
      <c r="Q108" s="10">
        <f>ROUND(MAX($D108:$E108)+MIN($D108:$E108)*SUMIFS(PrefFlows!$C:$C,PrefFlows!$A:$A,INDEX($D$1:$E$1,MATCH(MIN($D108:$E108),$D108:$E108,0)),PrefFlows!$B:$B,$B108),2)</f>
        <v>42.94</v>
      </c>
      <c r="R108" s="10">
        <f t="shared" si="32"/>
        <v>0</v>
      </c>
      <c r="S108" s="10">
        <f t="shared" si="33"/>
        <v>14.1</v>
      </c>
      <c r="T108" s="7">
        <f t="shared" si="34"/>
        <v>3.71</v>
      </c>
      <c r="U108" s="9">
        <f t="shared" si="35"/>
        <v>3.69</v>
      </c>
      <c r="V108" s="10">
        <f>ROUND($R108*SUMIFS(PrefFlows!$C:$C,PrefFlows!$A:$A,$R$1,PrefFlows!$B:$B,$B108)+$S108*SUMIFS(PrefFlows!$C:$C,PrefFlows!$A:$A,$S$1,PrefFlows!$B:$B,$B108)+$T108*SUMIFS(PrefFlows!$C:$C,PrefFlows!$A:$A,$T$1,PrefFlows!$B:$B,$B108),2)</f>
        <v>4.33</v>
      </c>
      <c r="W108" s="7">
        <f>ROUND($R108*(1-SUMIFS(PrefFlows!$C:$C,PrefFlows!$A:$A,$R$1,PrefFlows!$B:$B,$B108))+$S108*(1-SUMIFS(PrefFlows!$C:$C,PrefFlows!$A:$A,$S$1,PrefFlows!$B:$B,$B108))+$T108*(1-SUMIFS(PrefFlows!$C:$C,PrefFlows!$A:$A,$T$1,PrefFlows!$B:$B,$B108)),2)</f>
        <v>13.48</v>
      </c>
      <c r="X108" s="10">
        <f t="shared" si="36"/>
        <v>3.32</v>
      </c>
      <c r="Y108" s="7">
        <f t="shared" si="37"/>
        <v>14.49</v>
      </c>
      <c r="Z108" s="10">
        <f t="shared" si="38"/>
        <v>0.24310000000000001</v>
      </c>
      <c r="AA108" s="10">
        <f t="shared" si="39"/>
        <v>0.18640000000000001</v>
      </c>
      <c r="AB108" s="10">
        <f t="shared" si="40"/>
        <v>-5.67E-2</v>
      </c>
      <c r="AC108" s="7">
        <v>-8.1840079367844903E-2</v>
      </c>
      <c r="AD108" s="10">
        <f>ROUND(R108*(1-(Exhaust!$B$2+AC108)),2)</f>
        <v>0</v>
      </c>
      <c r="AE108" s="10">
        <f>ROUND(S108*(1-(Exhaust!$B$3+$AC108)),2)</f>
        <v>9.61</v>
      </c>
      <c r="AF108" s="7">
        <f>ROUND(T108*(1-(Exhaust!$B$4+$AC108)),2)</f>
        <v>2.16</v>
      </c>
      <c r="AG108" s="10">
        <f>ROUND($AD108*(SUMIFS(PrefFlows!$C:$C,PrefFlows!$A:$A,$R$1,PrefFlows!$B:$B,$B108)+$AB108)+$AE108*(SUMIFS(PrefFlows!$C:$C,PrefFlows!$A:$A,$S$1,PrefFlows!$B:$B,$B108)+$AB108)+$AF108*(SUMIFS(PrefFlows!$C:$C,PrefFlows!$A:$A,$T$1,PrefFlows!$B:$B,$B108)+$AB108),2)</f>
        <v>2.09</v>
      </c>
      <c r="AH108" s="7">
        <f>ROUND($AD108*(1-(SUMIFS(PrefFlows!$C:$C,PrefFlows!$A:$A,$R$1,PrefFlows!$B:$B,$B108)+$AB108))+$AE108*(1-(SUMIFS(PrefFlows!$C:$C,PrefFlows!$A:$A,$S$1,PrefFlows!$B:$B,$B108)+$AB108))+$AF108*(1-(SUMIFS(PrefFlows!$C:$C,PrefFlows!$A:$A,$T$1,PrefFlows!$B:$B,$B108)+$AB108)),2)</f>
        <v>9.68</v>
      </c>
      <c r="AI108" s="10">
        <f t="shared" si="41"/>
        <v>45.03</v>
      </c>
      <c r="AJ108" s="7">
        <f t="shared" si="42"/>
        <v>48.93</v>
      </c>
      <c r="AK108" s="10">
        <f t="shared" si="43"/>
        <v>47.92</v>
      </c>
      <c r="AL108" s="7">
        <f t="shared" si="43"/>
        <v>52.08</v>
      </c>
      <c r="AM108" s="1">
        <f t="shared" si="48"/>
        <v>-3.74</v>
      </c>
      <c r="AN108" s="1">
        <f t="shared" si="49"/>
        <v>-1.1599999999999999</v>
      </c>
      <c r="AO108" s="7">
        <f t="shared" si="50"/>
        <v>-2.08</v>
      </c>
      <c r="AP108" s="1" t="b">
        <f t="shared" si="44"/>
        <v>0</v>
      </c>
      <c r="AQ108" s="1" t="b">
        <f t="shared" si="44"/>
        <v>0</v>
      </c>
      <c r="AR108" s="7" t="b">
        <f t="shared" si="45"/>
        <v>0</v>
      </c>
      <c r="AS108" s="1">
        <f t="shared" si="46"/>
        <v>2.58</v>
      </c>
      <c r="AT108" s="1">
        <f t="shared" si="46"/>
        <v>1.6600000000000001</v>
      </c>
      <c r="AU108" s="7">
        <f t="shared" si="47"/>
        <v>0.92000000000000015</v>
      </c>
      <c r="AV108" s="1">
        <f>ROUND(IF(B108="NSW",N108*Meta!$B$6,N108),1)</f>
        <v>2875</v>
      </c>
      <c r="AW108" s="7">
        <f t="shared" si="51"/>
        <v>77746.600000000006</v>
      </c>
    </row>
    <row r="109" spans="1:49" x14ac:dyDescent="0.55000000000000004">
      <c r="A109" s="11" t="s">
        <v>122</v>
      </c>
      <c r="B109" s="7" t="s">
        <v>10</v>
      </c>
      <c r="C109" s="10">
        <v>32.79</v>
      </c>
      <c r="D109" s="10">
        <v>56.79</v>
      </c>
      <c r="E109" s="10">
        <v>0</v>
      </c>
      <c r="F109" s="10">
        <v>1.51</v>
      </c>
      <c r="G109" s="10">
        <v>0</v>
      </c>
      <c r="H109" s="10">
        <v>6.46</v>
      </c>
      <c r="I109" s="10">
        <v>2.4500000000000002</v>
      </c>
      <c r="J109" s="7">
        <f t="shared" si="30"/>
        <v>3.96</v>
      </c>
      <c r="K109" s="10">
        <v>60.67</v>
      </c>
      <c r="L109" s="7">
        <v>39.33</v>
      </c>
      <c r="M109" s="10">
        <v>84278</v>
      </c>
      <c r="N109" s="10">
        <v>3039</v>
      </c>
      <c r="O109" s="7">
        <f t="shared" si="31"/>
        <v>81239</v>
      </c>
      <c r="P109" s="10">
        <f>ROUND($C109+MIN($D109:$E109)*(1-SUMIFS(PrefFlows!$C:$C,PrefFlows!$A:$A,INDEX($D$1:$E$1,MATCH(MIN($D109:$E109),$D109:$E109,0)),PrefFlows!$B:$B,$B109)),2)</f>
        <v>32.79</v>
      </c>
      <c r="Q109" s="10">
        <f>ROUND(MAX($D109:$E109)+MIN($D109:$E109)*SUMIFS(PrefFlows!$C:$C,PrefFlows!$A:$A,INDEX($D$1:$E$1,MATCH(MIN($D109:$E109),$D109:$E109,0)),PrefFlows!$B:$B,$B109),2)</f>
        <v>56.79</v>
      </c>
      <c r="R109" s="10">
        <f t="shared" si="32"/>
        <v>0</v>
      </c>
      <c r="S109" s="10">
        <f t="shared" si="33"/>
        <v>6.46</v>
      </c>
      <c r="T109" s="7">
        <f t="shared" si="34"/>
        <v>3.96</v>
      </c>
      <c r="U109" s="9">
        <f t="shared" si="35"/>
        <v>24</v>
      </c>
      <c r="V109" s="10">
        <f>ROUND($R109*SUMIFS(PrefFlows!$C:$C,PrefFlows!$A:$A,$R$1,PrefFlows!$B:$B,$B109)+$S109*SUMIFS(PrefFlows!$C:$C,PrefFlows!$A:$A,$S$1,PrefFlows!$B:$B,$B109)+$T109*SUMIFS(PrefFlows!$C:$C,PrefFlows!$A:$A,$T$1,PrefFlows!$B:$B,$B109),2)</f>
        <v>3.17</v>
      </c>
      <c r="W109" s="7">
        <f>ROUND($R109*(1-SUMIFS(PrefFlows!$C:$C,PrefFlows!$A:$A,$R$1,PrefFlows!$B:$B,$B109))+$S109*(1-SUMIFS(PrefFlows!$C:$C,PrefFlows!$A:$A,$S$1,PrefFlows!$B:$B,$B109))+$T109*(1-SUMIFS(PrefFlows!$C:$C,PrefFlows!$A:$A,$T$1,PrefFlows!$B:$B,$B109)),2)</f>
        <v>7.25</v>
      </c>
      <c r="X109" s="10">
        <f t="shared" si="36"/>
        <v>3.88</v>
      </c>
      <c r="Y109" s="7">
        <f t="shared" si="37"/>
        <v>6.54</v>
      </c>
      <c r="Z109" s="10">
        <f t="shared" si="38"/>
        <v>0.30420000000000003</v>
      </c>
      <c r="AA109" s="10">
        <f t="shared" si="39"/>
        <v>0.37240000000000001</v>
      </c>
      <c r="AB109" s="10">
        <f t="shared" si="40"/>
        <v>6.8199999999999997E-2</v>
      </c>
      <c r="AC109" s="7">
        <v>-1.35730035503618E-2</v>
      </c>
      <c r="AD109" s="10">
        <f>ROUND(R109*(1-(Exhaust!$B$2+AC109)),2)</f>
        <v>0</v>
      </c>
      <c r="AE109" s="10">
        <f>ROUND(S109*(1-(Exhaust!$B$3+$AC109)),2)</f>
        <v>3.96</v>
      </c>
      <c r="AF109" s="7">
        <f>ROUND(T109*(1-(Exhaust!$B$4+$AC109)),2)</f>
        <v>2.0299999999999998</v>
      </c>
      <c r="AG109" s="10">
        <f>ROUND($AD109*(SUMIFS(PrefFlows!$C:$C,PrefFlows!$A:$A,$R$1,PrefFlows!$B:$B,$B109)+$AB109)+$AE109*(SUMIFS(PrefFlows!$C:$C,PrefFlows!$A:$A,$S$1,PrefFlows!$B:$B,$B109)+$AB109)+$AF109*(SUMIFS(PrefFlows!$C:$C,PrefFlows!$A:$A,$T$1,PrefFlows!$B:$B,$B109)+$AB109),2)</f>
        <v>2.14</v>
      </c>
      <c r="AH109" s="7">
        <f>ROUND($AD109*(1-(SUMIFS(PrefFlows!$C:$C,PrefFlows!$A:$A,$R$1,PrefFlows!$B:$B,$B109)+$AB109))+$AE109*(1-(SUMIFS(PrefFlows!$C:$C,PrefFlows!$A:$A,$S$1,PrefFlows!$B:$B,$B109)+$AB109))+$AF109*(1-(SUMIFS(PrefFlows!$C:$C,PrefFlows!$A:$A,$T$1,PrefFlows!$B:$B,$B109)+$AB109)),2)</f>
        <v>3.85</v>
      </c>
      <c r="AI109" s="10">
        <f t="shared" si="41"/>
        <v>58.93</v>
      </c>
      <c r="AJ109" s="7">
        <f t="shared" si="42"/>
        <v>36.64</v>
      </c>
      <c r="AK109" s="10">
        <f t="shared" si="43"/>
        <v>61.66</v>
      </c>
      <c r="AL109" s="7">
        <f t="shared" si="43"/>
        <v>38.340000000000003</v>
      </c>
      <c r="AM109" s="1">
        <f t="shared" si="48"/>
        <v>10.67</v>
      </c>
      <c r="AN109" s="1">
        <f t="shared" si="49"/>
        <v>11.9</v>
      </c>
      <c r="AO109" s="7">
        <f t="shared" si="50"/>
        <v>11.66</v>
      </c>
      <c r="AP109" s="1" t="b">
        <f t="shared" si="44"/>
        <v>0</v>
      </c>
      <c r="AQ109" s="1" t="b">
        <f t="shared" si="44"/>
        <v>0</v>
      </c>
      <c r="AR109" s="7" t="b">
        <f t="shared" si="45"/>
        <v>0</v>
      </c>
      <c r="AS109" s="1">
        <f t="shared" si="46"/>
        <v>1.2300000000000004</v>
      </c>
      <c r="AT109" s="1">
        <f t="shared" si="46"/>
        <v>0.99000000000000021</v>
      </c>
      <c r="AU109" s="7">
        <f t="shared" si="47"/>
        <v>0.24000000000000021</v>
      </c>
      <c r="AV109" s="1">
        <f>ROUND(IF(B109="NSW",N109*Meta!$B$6,N109),1)</f>
        <v>3039</v>
      </c>
      <c r="AW109" s="7">
        <f t="shared" si="51"/>
        <v>78759.8</v>
      </c>
    </row>
    <row r="110" spans="1:49" x14ac:dyDescent="0.55000000000000004">
      <c r="A110" s="11" t="s">
        <v>123</v>
      </c>
      <c r="B110" s="7" t="s">
        <v>13</v>
      </c>
      <c r="C110" s="10">
        <v>20.84</v>
      </c>
      <c r="D110" s="10">
        <v>64.349999999999994</v>
      </c>
      <c r="E110" s="10">
        <v>0</v>
      </c>
      <c r="F110" s="10">
        <v>1.7</v>
      </c>
      <c r="G110" s="10">
        <v>1.22</v>
      </c>
      <c r="H110" s="10">
        <v>6.2</v>
      </c>
      <c r="I110" s="10">
        <v>6.91</v>
      </c>
      <c r="J110" s="7">
        <f t="shared" si="30"/>
        <v>7.39</v>
      </c>
      <c r="K110" s="10">
        <v>70.680000000000007</v>
      </c>
      <c r="L110" s="7">
        <v>29.32</v>
      </c>
      <c r="M110" s="10">
        <v>90806</v>
      </c>
      <c r="N110" s="10">
        <v>5991</v>
      </c>
      <c r="O110" s="7">
        <f t="shared" si="31"/>
        <v>84815</v>
      </c>
      <c r="P110" s="10">
        <f>ROUND($C110+MIN($D110:$E110)*(1-SUMIFS(PrefFlows!$C:$C,PrefFlows!$A:$A,INDEX($D$1:$E$1,MATCH(MIN($D110:$E110),$D110:$E110,0)),PrefFlows!$B:$B,$B110)),2)</f>
        <v>20.84</v>
      </c>
      <c r="Q110" s="10">
        <f>ROUND(MAX($D110:$E110)+MIN($D110:$E110)*SUMIFS(PrefFlows!$C:$C,PrefFlows!$A:$A,INDEX($D$1:$E$1,MATCH(MIN($D110:$E110),$D110:$E110,0)),PrefFlows!$B:$B,$B110),2)</f>
        <v>64.349999999999994</v>
      </c>
      <c r="R110" s="10">
        <f t="shared" si="32"/>
        <v>1.22</v>
      </c>
      <c r="S110" s="10">
        <f t="shared" si="33"/>
        <v>6.2</v>
      </c>
      <c r="T110" s="7">
        <f t="shared" si="34"/>
        <v>7.39</v>
      </c>
      <c r="U110" s="9">
        <f t="shared" si="35"/>
        <v>43.51</v>
      </c>
      <c r="V110" s="10">
        <f>ROUND($R110*SUMIFS(PrefFlows!$C:$C,PrefFlows!$A:$A,$R$1,PrefFlows!$B:$B,$B110)+$S110*SUMIFS(PrefFlows!$C:$C,PrefFlows!$A:$A,$S$1,PrefFlows!$B:$B,$B110)+$T110*SUMIFS(PrefFlows!$C:$C,PrefFlows!$A:$A,$T$1,PrefFlows!$B:$B,$B110),2)</f>
        <v>5.63</v>
      </c>
      <c r="W110" s="7">
        <f>ROUND($R110*(1-SUMIFS(PrefFlows!$C:$C,PrefFlows!$A:$A,$R$1,PrefFlows!$B:$B,$B110))+$S110*(1-SUMIFS(PrefFlows!$C:$C,PrefFlows!$A:$A,$S$1,PrefFlows!$B:$B,$B110))+$T110*(1-SUMIFS(PrefFlows!$C:$C,PrefFlows!$A:$A,$T$1,PrefFlows!$B:$B,$B110)),2)</f>
        <v>9.18</v>
      </c>
      <c r="X110" s="10">
        <f t="shared" si="36"/>
        <v>6.33</v>
      </c>
      <c r="Y110" s="7">
        <f t="shared" si="37"/>
        <v>8.48</v>
      </c>
      <c r="Z110" s="10">
        <f t="shared" si="38"/>
        <v>0.38009999999999999</v>
      </c>
      <c r="AA110" s="10">
        <f t="shared" si="39"/>
        <v>0.4274</v>
      </c>
      <c r="AB110" s="10">
        <f t="shared" si="40"/>
        <v>4.7300000000000002E-2</v>
      </c>
      <c r="AC110" s="7">
        <v>6.0689156207101497E-2</v>
      </c>
      <c r="AD110" s="10">
        <f>ROUND(R110*(1-(Exhaust!$B$2+AC110)),2)</f>
        <v>0.46</v>
      </c>
      <c r="AE110" s="10">
        <f>ROUND(S110*(1-(Exhaust!$B$3+$AC110)),2)</f>
        <v>3.34</v>
      </c>
      <c r="AF110" s="7">
        <f>ROUND(T110*(1-(Exhaust!$B$4+$AC110)),2)</f>
        <v>3.25</v>
      </c>
      <c r="AG110" s="10">
        <f>ROUND($AD110*(SUMIFS(PrefFlows!$C:$C,PrefFlows!$A:$A,$R$1,PrefFlows!$B:$B,$B110)+$AB110)+$AE110*(SUMIFS(PrefFlows!$C:$C,PrefFlows!$A:$A,$S$1,PrefFlows!$B:$B,$B110)+$AB110)+$AF110*(SUMIFS(PrefFlows!$C:$C,PrefFlows!$A:$A,$T$1,PrefFlows!$B:$B,$B110)+$AB110),2)</f>
        <v>2.88</v>
      </c>
      <c r="AH110" s="7">
        <f>ROUND($AD110*(1-(SUMIFS(PrefFlows!$C:$C,PrefFlows!$A:$A,$R$1,PrefFlows!$B:$B,$B110)+$AB110))+$AE110*(1-(SUMIFS(PrefFlows!$C:$C,PrefFlows!$A:$A,$S$1,PrefFlows!$B:$B,$B110)+$AB110))+$AF110*(1-(SUMIFS(PrefFlows!$C:$C,PrefFlows!$A:$A,$T$1,PrefFlows!$B:$B,$B110)+$AB110)),2)</f>
        <v>4.17</v>
      </c>
      <c r="AI110" s="10">
        <f t="shared" si="41"/>
        <v>67.23</v>
      </c>
      <c r="AJ110" s="7">
        <f t="shared" si="42"/>
        <v>25.01</v>
      </c>
      <c r="AK110" s="10">
        <f t="shared" si="43"/>
        <v>72.89</v>
      </c>
      <c r="AL110" s="7">
        <f t="shared" si="43"/>
        <v>27.11</v>
      </c>
      <c r="AM110" s="1">
        <f t="shared" si="48"/>
        <v>20.68</v>
      </c>
      <c r="AN110" s="1">
        <f t="shared" si="49"/>
        <v>22.82</v>
      </c>
      <c r="AO110" s="7">
        <f t="shared" si="50"/>
        <v>22.89</v>
      </c>
      <c r="AP110" s="1" t="b">
        <f t="shared" si="44"/>
        <v>0</v>
      </c>
      <c r="AQ110" s="1" t="b">
        <f t="shared" si="44"/>
        <v>0</v>
      </c>
      <c r="AR110" s="7" t="b">
        <f t="shared" si="45"/>
        <v>0</v>
      </c>
      <c r="AS110" s="1">
        <f t="shared" si="46"/>
        <v>2.1400000000000006</v>
      </c>
      <c r="AT110" s="1">
        <f t="shared" si="46"/>
        <v>2.2100000000000009</v>
      </c>
      <c r="AU110" s="7">
        <f t="shared" si="47"/>
        <v>7.0000000000000284E-2</v>
      </c>
      <c r="AV110" s="1">
        <f>ROUND(IF(B110="NSW",N110*Meta!$B$6,N110),1)</f>
        <v>4014</v>
      </c>
      <c r="AW110" s="7">
        <f t="shared" si="51"/>
        <v>81484.3</v>
      </c>
    </row>
    <row r="111" spans="1:49" x14ac:dyDescent="0.55000000000000004">
      <c r="A111" s="11" t="s">
        <v>124</v>
      </c>
      <c r="B111" s="7" t="s">
        <v>23</v>
      </c>
      <c r="C111" s="10">
        <v>23.92</v>
      </c>
      <c r="D111" s="10">
        <v>64.38</v>
      </c>
      <c r="E111" s="10">
        <v>0</v>
      </c>
      <c r="F111" s="10">
        <v>1.1499999999999999</v>
      </c>
      <c r="G111" s="10">
        <v>1.69</v>
      </c>
      <c r="H111" s="10">
        <v>4.9800000000000004</v>
      </c>
      <c r="I111" s="10">
        <v>5.57</v>
      </c>
      <c r="J111" s="7">
        <f t="shared" si="30"/>
        <v>5.03</v>
      </c>
      <c r="K111" s="10">
        <v>70.14</v>
      </c>
      <c r="L111" s="7">
        <v>29.86</v>
      </c>
      <c r="M111" s="10">
        <v>77302</v>
      </c>
      <c r="N111" s="10">
        <v>4581</v>
      </c>
      <c r="O111" s="7">
        <f t="shared" si="31"/>
        <v>72721</v>
      </c>
      <c r="P111" s="10">
        <f>ROUND($C111+MIN($D111:$E111)*(1-SUMIFS(PrefFlows!$C:$C,PrefFlows!$A:$A,INDEX($D$1:$E$1,MATCH(MIN($D111:$E111),$D111:$E111,0)),PrefFlows!$B:$B,$B111)),2)</f>
        <v>23.92</v>
      </c>
      <c r="Q111" s="10">
        <f>ROUND(MAX($D111:$E111)+MIN($D111:$E111)*SUMIFS(PrefFlows!$C:$C,PrefFlows!$A:$A,INDEX($D$1:$E$1,MATCH(MIN($D111:$E111),$D111:$E111,0)),PrefFlows!$B:$B,$B111),2)</f>
        <v>64.38</v>
      </c>
      <c r="R111" s="10">
        <f t="shared" si="32"/>
        <v>1.69</v>
      </c>
      <c r="S111" s="10">
        <f t="shared" si="33"/>
        <v>4.9800000000000004</v>
      </c>
      <c r="T111" s="7">
        <f t="shared" si="34"/>
        <v>5.03</v>
      </c>
      <c r="U111" s="9">
        <f t="shared" si="35"/>
        <v>40.46</v>
      </c>
      <c r="V111" s="10">
        <f>ROUND($R111*SUMIFS(PrefFlows!$C:$C,PrefFlows!$A:$A,$R$1,PrefFlows!$B:$B,$B111)+$S111*SUMIFS(PrefFlows!$C:$C,PrefFlows!$A:$A,$S$1,PrefFlows!$B:$B,$B111)+$T111*SUMIFS(PrefFlows!$C:$C,PrefFlows!$A:$A,$T$1,PrefFlows!$B:$B,$B111),2)</f>
        <v>4.8099999999999996</v>
      </c>
      <c r="W111" s="7">
        <f>ROUND($R111*(1-SUMIFS(PrefFlows!$C:$C,PrefFlows!$A:$A,$R$1,PrefFlows!$B:$B,$B111))+$S111*(1-SUMIFS(PrefFlows!$C:$C,PrefFlows!$A:$A,$S$1,PrefFlows!$B:$B,$B111))+$T111*(1-SUMIFS(PrefFlows!$C:$C,PrefFlows!$A:$A,$T$1,PrefFlows!$B:$B,$B111)),2)</f>
        <v>6.89</v>
      </c>
      <c r="X111" s="10">
        <f t="shared" si="36"/>
        <v>5.76</v>
      </c>
      <c r="Y111" s="7">
        <f t="shared" si="37"/>
        <v>5.94</v>
      </c>
      <c r="Z111" s="10">
        <f t="shared" si="38"/>
        <v>0.41110000000000002</v>
      </c>
      <c r="AA111" s="10">
        <f t="shared" si="39"/>
        <v>0.49230000000000002</v>
      </c>
      <c r="AB111" s="10">
        <f t="shared" si="40"/>
        <v>8.1199999999999994E-2</v>
      </c>
      <c r="AC111" s="7">
        <v>9.3289698338629004E-2</v>
      </c>
      <c r="AD111" s="10">
        <f>ROUND(R111*(1-(Exhaust!$B$2+AC111)),2)</f>
        <v>0.59</v>
      </c>
      <c r="AE111" s="10">
        <f>ROUND(S111*(1-(Exhaust!$B$3+$AC111)),2)</f>
        <v>2.52</v>
      </c>
      <c r="AF111" s="7">
        <f>ROUND(T111*(1-(Exhaust!$B$4+$AC111)),2)</f>
        <v>2.0499999999999998</v>
      </c>
      <c r="AG111" s="10">
        <f>ROUND($AD111*(SUMIFS(PrefFlows!$C:$C,PrefFlows!$A:$A,$R$1,PrefFlows!$B:$B,$B111)+$AB111)+$AE111*(SUMIFS(PrefFlows!$C:$C,PrefFlows!$A:$A,$S$1,PrefFlows!$B:$B,$B111)+$AB111)+$AF111*(SUMIFS(PrefFlows!$C:$C,PrefFlows!$A:$A,$T$1,PrefFlows!$B:$B,$B111)+$AB111),2)</f>
        <v>2.4500000000000002</v>
      </c>
      <c r="AH111" s="7">
        <f>ROUND($AD111*(1-(SUMIFS(PrefFlows!$C:$C,PrefFlows!$A:$A,$R$1,PrefFlows!$B:$B,$B111)+$AB111))+$AE111*(1-(SUMIFS(PrefFlows!$C:$C,PrefFlows!$A:$A,$S$1,PrefFlows!$B:$B,$B111)+$AB111))+$AF111*(1-(SUMIFS(PrefFlows!$C:$C,PrefFlows!$A:$A,$T$1,PrefFlows!$B:$B,$B111)+$AB111)),2)</f>
        <v>2.71</v>
      </c>
      <c r="AI111" s="10">
        <f t="shared" si="41"/>
        <v>66.83</v>
      </c>
      <c r="AJ111" s="7">
        <f t="shared" si="42"/>
        <v>26.63</v>
      </c>
      <c r="AK111" s="10">
        <f t="shared" si="43"/>
        <v>71.510000000000005</v>
      </c>
      <c r="AL111" s="7">
        <f t="shared" si="43"/>
        <v>28.49</v>
      </c>
      <c r="AM111" s="1">
        <f t="shared" si="48"/>
        <v>20.14</v>
      </c>
      <c r="AN111" s="1">
        <f t="shared" si="49"/>
        <v>21.38</v>
      </c>
      <c r="AO111" s="7">
        <f t="shared" si="50"/>
        <v>21.51</v>
      </c>
      <c r="AP111" s="1" t="b">
        <f t="shared" si="44"/>
        <v>0</v>
      </c>
      <c r="AQ111" s="1" t="b">
        <f t="shared" si="44"/>
        <v>0</v>
      </c>
      <c r="AR111" s="7" t="b">
        <f t="shared" si="45"/>
        <v>0</v>
      </c>
      <c r="AS111" s="1">
        <f t="shared" si="46"/>
        <v>1.2399999999999984</v>
      </c>
      <c r="AT111" s="1">
        <f t="shared" si="46"/>
        <v>1.370000000000001</v>
      </c>
      <c r="AU111" s="7">
        <f t="shared" si="47"/>
        <v>0.13000000000000256</v>
      </c>
      <c r="AV111" s="1">
        <f>ROUND(IF(B111="NSW",N111*Meta!$B$6,N111),1)</f>
        <v>4581</v>
      </c>
      <c r="AW111" s="7">
        <f t="shared" si="51"/>
        <v>69615.600000000006</v>
      </c>
    </row>
    <row r="112" spans="1:49" x14ac:dyDescent="0.55000000000000004">
      <c r="A112" s="11" t="s">
        <v>125</v>
      </c>
      <c r="B112" s="7" t="s">
        <v>31</v>
      </c>
      <c r="C112" s="10">
        <v>31.45</v>
      </c>
      <c r="D112" s="10">
        <v>55.34</v>
      </c>
      <c r="E112" s="10">
        <v>0</v>
      </c>
      <c r="F112" s="10">
        <v>1.7</v>
      </c>
      <c r="G112" s="10">
        <v>2.04</v>
      </c>
      <c r="H112" s="10">
        <v>7.08</v>
      </c>
      <c r="I112" s="10">
        <v>4.43</v>
      </c>
      <c r="J112" s="7">
        <f t="shared" si="30"/>
        <v>4.09</v>
      </c>
      <c r="K112" s="10">
        <v>60.83</v>
      </c>
      <c r="L112" s="7">
        <v>39.17</v>
      </c>
      <c r="M112" s="10">
        <v>71288</v>
      </c>
      <c r="N112" s="10">
        <v>3092</v>
      </c>
      <c r="O112" s="7">
        <f t="shared" si="31"/>
        <v>68196</v>
      </c>
      <c r="P112" s="10">
        <f>ROUND($C112+MIN($D112:$E112)*(1-SUMIFS(PrefFlows!$C:$C,PrefFlows!$A:$A,INDEX($D$1:$E$1,MATCH(MIN($D112:$E112),$D112:$E112,0)),PrefFlows!$B:$B,$B112)),2)</f>
        <v>31.45</v>
      </c>
      <c r="Q112" s="10">
        <f>ROUND(MAX($D112:$E112)+MIN($D112:$E112)*SUMIFS(PrefFlows!$C:$C,PrefFlows!$A:$A,INDEX($D$1:$E$1,MATCH(MIN($D112:$E112),$D112:$E112,0)),PrefFlows!$B:$B,$B112),2)</f>
        <v>55.34</v>
      </c>
      <c r="R112" s="10">
        <f t="shared" si="32"/>
        <v>2.04</v>
      </c>
      <c r="S112" s="10">
        <f t="shared" si="33"/>
        <v>7.08</v>
      </c>
      <c r="T112" s="7">
        <f t="shared" si="34"/>
        <v>4.09</v>
      </c>
      <c r="U112" s="9">
        <f t="shared" si="35"/>
        <v>23.89</v>
      </c>
      <c r="V112" s="10">
        <f>ROUND($R112*SUMIFS(PrefFlows!$C:$C,PrefFlows!$A:$A,$R$1,PrefFlows!$B:$B,$B112)+$S112*SUMIFS(PrefFlows!$C:$C,PrefFlows!$A:$A,$S$1,PrefFlows!$B:$B,$B112)+$T112*SUMIFS(PrefFlows!$C:$C,PrefFlows!$A:$A,$T$1,PrefFlows!$B:$B,$B112),2)</f>
        <v>4.8899999999999997</v>
      </c>
      <c r="W112" s="7">
        <f>ROUND($R112*(1-SUMIFS(PrefFlows!$C:$C,PrefFlows!$A:$A,$R$1,PrefFlows!$B:$B,$B112))+$S112*(1-SUMIFS(PrefFlows!$C:$C,PrefFlows!$A:$A,$S$1,PrefFlows!$B:$B,$B112))+$T112*(1-SUMIFS(PrefFlows!$C:$C,PrefFlows!$A:$A,$T$1,PrefFlows!$B:$B,$B112)),2)</f>
        <v>8.32</v>
      </c>
      <c r="X112" s="10">
        <f t="shared" si="36"/>
        <v>5.49</v>
      </c>
      <c r="Y112" s="7">
        <f t="shared" si="37"/>
        <v>7.72</v>
      </c>
      <c r="Z112" s="10">
        <f t="shared" si="38"/>
        <v>0.37019999999999997</v>
      </c>
      <c r="AA112" s="10">
        <f t="shared" si="39"/>
        <v>0.41560000000000002</v>
      </c>
      <c r="AB112" s="10">
        <f t="shared" si="40"/>
        <v>4.5400000000000003E-2</v>
      </c>
      <c r="AC112" s="7">
        <v>4.4238688882150198E-2</v>
      </c>
      <c r="AD112" s="10">
        <f>ROUND(R112*(1-(Exhaust!$B$2+AC112)),2)</f>
        <v>0.81</v>
      </c>
      <c r="AE112" s="10">
        <f>ROUND(S112*(1-(Exhaust!$B$3+$AC112)),2)</f>
        <v>3.93</v>
      </c>
      <c r="AF112" s="7">
        <f>ROUND(T112*(1-(Exhaust!$B$4+$AC112)),2)</f>
        <v>1.86</v>
      </c>
      <c r="AG112" s="10">
        <f>ROUND($AD112*(SUMIFS(PrefFlows!$C:$C,PrefFlows!$A:$A,$R$1,PrefFlows!$B:$B,$B112)+$AB112)+$AE112*(SUMIFS(PrefFlows!$C:$C,PrefFlows!$A:$A,$S$1,PrefFlows!$B:$B,$B112)+$AB112)+$AF112*(SUMIFS(PrefFlows!$C:$C,PrefFlows!$A:$A,$T$1,PrefFlows!$B:$B,$B112)+$AB112),2)</f>
        <v>2.61</v>
      </c>
      <c r="AH112" s="7">
        <f>ROUND($AD112*(1-(SUMIFS(PrefFlows!$C:$C,PrefFlows!$A:$A,$R$1,PrefFlows!$B:$B,$B112)+$AB112))+$AE112*(1-(SUMIFS(PrefFlows!$C:$C,PrefFlows!$A:$A,$S$1,PrefFlows!$B:$B,$B112)+$AB112))+$AF112*(1-(SUMIFS(PrefFlows!$C:$C,PrefFlows!$A:$A,$T$1,PrefFlows!$B:$B,$B112)+$AB112)),2)</f>
        <v>3.99</v>
      </c>
      <c r="AI112" s="10">
        <f t="shared" si="41"/>
        <v>57.95</v>
      </c>
      <c r="AJ112" s="7">
        <f t="shared" si="42"/>
        <v>35.44</v>
      </c>
      <c r="AK112" s="10">
        <f t="shared" si="43"/>
        <v>62.05</v>
      </c>
      <c r="AL112" s="7">
        <f t="shared" si="43"/>
        <v>37.950000000000003</v>
      </c>
      <c r="AM112" s="1">
        <f t="shared" si="48"/>
        <v>10.83</v>
      </c>
      <c r="AN112" s="1">
        <f t="shared" si="49"/>
        <v>12.13</v>
      </c>
      <c r="AO112" s="7">
        <f t="shared" si="50"/>
        <v>12.05</v>
      </c>
      <c r="AP112" s="1" t="b">
        <f t="shared" si="44"/>
        <v>0</v>
      </c>
      <c r="AQ112" s="1" t="b">
        <f t="shared" si="44"/>
        <v>0</v>
      </c>
      <c r="AR112" s="7" t="b">
        <f t="shared" si="45"/>
        <v>0</v>
      </c>
      <c r="AS112" s="1">
        <f t="shared" si="46"/>
        <v>1.3000000000000007</v>
      </c>
      <c r="AT112" s="1">
        <f t="shared" si="46"/>
        <v>1.2200000000000006</v>
      </c>
      <c r="AU112" s="7">
        <f t="shared" si="47"/>
        <v>8.0000000000000071E-2</v>
      </c>
      <c r="AV112" s="1">
        <f>ROUND(IF(B112="NSW",N112*Meta!$B$6,N112),1)</f>
        <v>3092</v>
      </c>
      <c r="AW112" s="7">
        <f t="shared" si="51"/>
        <v>64801.5</v>
      </c>
    </row>
    <row r="113" spans="1:49" x14ac:dyDescent="0.55000000000000004">
      <c r="A113" s="11" t="s">
        <v>126</v>
      </c>
      <c r="B113" s="7" t="s">
        <v>23</v>
      </c>
      <c r="C113" s="10">
        <v>39.119999999999997</v>
      </c>
      <c r="D113" s="10">
        <v>49.11</v>
      </c>
      <c r="E113" s="10">
        <v>0</v>
      </c>
      <c r="F113" s="10">
        <v>1.66</v>
      </c>
      <c r="G113" s="10">
        <v>1.07</v>
      </c>
      <c r="H113" s="10">
        <v>5.31</v>
      </c>
      <c r="I113" s="10">
        <v>4.8</v>
      </c>
      <c r="J113" s="7">
        <f t="shared" si="30"/>
        <v>5.39</v>
      </c>
      <c r="K113" s="10">
        <v>54.17</v>
      </c>
      <c r="L113" s="7">
        <v>45.83</v>
      </c>
      <c r="M113" s="10">
        <v>82908</v>
      </c>
      <c r="N113" s="10">
        <v>4096</v>
      </c>
      <c r="O113" s="7">
        <f t="shared" si="31"/>
        <v>78812</v>
      </c>
      <c r="P113" s="10">
        <f>ROUND($C113+MIN($D113:$E113)*(1-SUMIFS(PrefFlows!$C:$C,PrefFlows!$A:$A,INDEX($D$1:$E$1,MATCH(MIN($D113:$E113),$D113:$E113,0)),PrefFlows!$B:$B,$B113)),2)</f>
        <v>39.119999999999997</v>
      </c>
      <c r="Q113" s="10">
        <f>ROUND(MAX($D113:$E113)+MIN($D113:$E113)*SUMIFS(PrefFlows!$C:$C,PrefFlows!$A:$A,INDEX($D$1:$E$1,MATCH(MIN($D113:$E113),$D113:$E113,0)),PrefFlows!$B:$B,$B113),2)</f>
        <v>49.11</v>
      </c>
      <c r="R113" s="10">
        <f t="shared" si="32"/>
        <v>1.07</v>
      </c>
      <c r="S113" s="10">
        <f t="shared" si="33"/>
        <v>5.31</v>
      </c>
      <c r="T113" s="7">
        <f t="shared" si="34"/>
        <v>5.39</v>
      </c>
      <c r="U113" s="9">
        <f t="shared" si="35"/>
        <v>9.99</v>
      </c>
      <c r="V113" s="10">
        <f>ROUND($R113*SUMIFS(PrefFlows!$C:$C,PrefFlows!$A:$A,$R$1,PrefFlows!$B:$B,$B113)+$S113*SUMIFS(PrefFlows!$C:$C,PrefFlows!$A:$A,$S$1,PrefFlows!$B:$B,$B113)+$T113*SUMIFS(PrefFlows!$C:$C,PrefFlows!$A:$A,$T$1,PrefFlows!$B:$B,$B113),2)</f>
        <v>4.71</v>
      </c>
      <c r="W113" s="7">
        <f>ROUND($R113*(1-SUMIFS(PrefFlows!$C:$C,PrefFlows!$A:$A,$R$1,PrefFlows!$B:$B,$B113))+$S113*(1-SUMIFS(PrefFlows!$C:$C,PrefFlows!$A:$A,$S$1,PrefFlows!$B:$B,$B113))+$T113*(1-SUMIFS(PrefFlows!$C:$C,PrefFlows!$A:$A,$T$1,PrefFlows!$B:$B,$B113)),2)</f>
        <v>7.06</v>
      </c>
      <c r="X113" s="10">
        <f t="shared" si="36"/>
        <v>5.0599999999999996</v>
      </c>
      <c r="Y113" s="7">
        <f t="shared" si="37"/>
        <v>6.71</v>
      </c>
      <c r="Z113" s="10">
        <f t="shared" si="38"/>
        <v>0.4002</v>
      </c>
      <c r="AA113" s="10">
        <f t="shared" si="39"/>
        <v>0.4299</v>
      </c>
      <c r="AB113" s="10">
        <f t="shared" si="40"/>
        <v>2.9700000000000001E-2</v>
      </c>
      <c r="AC113" s="7">
        <v>-7.6125193806244598E-3</v>
      </c>
      <c r="AD113" s="10">
        <f>ROUND(R113*(1-(Exhaust!$B$2+AC113)),2)</f>
        <v>0.48</v>
      </c>
      <c r="AE113" s="10">
        <f>ROUND(S113*(1-(Exhaust!$B$3+$AC113)),2)</f>
        <v>3.23</v>
      </c>
      <c r="AF113" s="7">
        <f>ROUND(T113*(1-(Exhaust!$B$4+$AC113)),2)</f>
        <v>2.74</v>
      </c>
      <c r="AG113" s="10">
        <f>ROUND($AD113*(SUMIFS(PrefFlows!$C:$C,PrefFlows!$A:$A,$R$1,PrefFlows!$B:$B,$B113)+$AB113)+$AE113*(SUMIFS(PrefFlows!$C:$C,PrefFlows!$A:$A,$S$1,PrefFlows!$B:$B,$B113)+$AB113)+$AF113*(SUMIFS(PrefFlows!$C:$C,PrefFlows!$A:$A,$T$1,PrefFlows!$B:$B,$B113)+$AB113),2)</f>
        <v>2.68</v>
      </c>
      <c r="AH113" s="7">
        <f>ROUND($AD113*(1-(SUMIFS(PrefFlows!$C:$C,PrefFlows!$A:$A,$R$1,PrefFlows!$B:$B,$B113)+$AB113))+$AE113*(1-(SUMIFS(PrefFlows!$C:$C,PrefFlows!$A:$A,$S$1,PrefFlows!$B:$B,$B113)+$AB113))+$AF113*(1-(SUMIFS(PrefFlows!$C:$C,PrefFlows!$A:$A,$T$1,PrefFlows!$B:$B,$B113)+$AB113)),2)</f>
        <v>3.77</v>
      </c>
      <c r="AI113" s="10">
        <f t="shared" si="41"/>
        <v>51.79</v>
      </c>
      <c r="AJ113" s="7">
        <f t="shared" si="42"/>
        <v>42.89</v>
      </c>
      <c r="AK113" s="10">
        <f t="shared" si="43"/>
        <v>54.7</v>
      </c>
      <c r="AL113" s="7">
        <f t="shared" si="43"/>
        <v>45.3</v>
      </c>
      <c r="AM113" s="1">
        <f t="shared" si="48"/>
        <v>4.17</v>
      </c>
      <c r="AN113" s="1">
        <f t="shared" si="49"/>
        <v>4.84</v>
      </c>
      <c r="AO113" s="7">
        <f t="shared" si="50"/>
        <v>4.7</v>
      </c>
      <c r="AP113" s="1" t="b">
        <f t="shared" si="44"/>
        <v>0</v>
      </c>
      <c r="AQ113" s="1" t="b">
        <f t="shared" si="44"/>
        <v>0</v>
      </c>
      <c r="AR113" s="7" t="b">
        <f t="shared" si="45"/>
        <v>0</v>
      </c>
      <c r="AS113" s="1">
        <f t="shared" si="46"/>
        <v>0.66999999999999993</v>
      </c>
      <c r="AT113" s="1">
        <f t="shared" si="46"/>
        <v>0.53000000000000025</v>
      </c>
      <c r="AU113" s="7">
        <f t="shared" si="47"/>
        <v>0.13999999999999968</v>
      </c>
      <c r="AV113" s="1">
        <f>ROUND(IF(B113="NSW",N113*Meta!$B$6,N113),1)</f>
        <v>4096</v>
      </c>
      <c r="AW113" s="7">
        <f t="shared" si="51"/>
        <v>76114.3</v>
      </c>
    </row>
    <row r="114" spans="1:49" x14ac:dyDescent="0.55000000000000004">
      <c r="A114" s="11" t="s">
        <v>127</v>
      </c>
      <c r="B114" s="7" t="s">
        <v>10</v>
      </c>
      <c r="C114" s="10">
        <v>19.77</v>
      </c>
      <c r="D114" s="10">
        <v>65.53</v>
      </c>
      <c r="E114" s="10">
        <v>0</v>
      </c>
      <c r="F114" s="10">
        <v>0</v>
      </c>
      <c r="G114" s="10">
        <v>0</v>
      </c>
      <c r="H114" s="10">
        <v>3.05</v>
      </c>
      <c r="I114" s="10">
        <v>11.65</v>
      </c>
      <c r="J114" s="7">
        <f t="shared" si="30"/>
        <v>11.65</v>
      </c>
      <c r="K114" s="10">
        <v>74.08</v>
      </c>
      <c r="L114" s="7">
        <v>25.92</v>
      </c>
      <c r="M114" s="10">
        <v>83921</v>
      </c>
      <c r="N114" s="10">
        <v>3504</v>
      </c>
      <c r="O114" s="7">
        <f t="shared" si="31"/>
        <v>80417</v>
      </c>
      <c r="P114" s="10">
        <f>ROUND($C114+MIN($D114:$E114)*(1-SUMIFS(PrefFlows!$C:$C,PrefFlows!$A:$A,INDEX($D$1:$E$1,MATCH(MIN($D114:$E114),$D114:$E114,0)),PrefFlows!$B:$B,$B114)),2)</f>
        <v>19.77</v>
      </c>
      <c r="Q114" s="10">
        <f>ROUND(MAX($D114:$E114)+MIN($D114:$E114)*SUMIFS(PrefFlows!$C:$C,PrefFlows!$A:$A,INDEX($D$1:$E$1,MATCH(MIN($D114:$E114),$D114:$E114,0)),PrefFlows!$B:$B,$B114),2)</f>
        <v>65.53</v>
      </c>
      <c r="R114" s="10">
        <f t="shared" si="32"/>
        <v>0</v>
      </c>
      <c r="S114" s="10">
        <f t="shared" si="33"/>
        <v>3.05</v>
      </c>
      <c r="T114" s="7">
        <f t="shared" si="34"/>
        <v>11.65</v>
      </c>
      <c r="U114" s="9">
        <f t="shared" si="35"/>
        <v>45.76</v>
      </c>
      <c r="V114" s="10">
        <f>ROUND($R114*SUMIFS(PrefFlows!$C:$C,PrefFlows!$A:$A,$R$1,PrefFlows!$B:$B,$B114)+$S114*SUMIFS(PrefFlows!$C:$C,PrefFlows!$A:$A,$S$1,PrefFlows!$B:$B,$B114)+$T114*SUMIFS(PrefFlows!$C:$C,PrefFlows!$A:$A,$T$1,PrefFlows!$B:$B,$B114),2)</f>
        <v>6.63</v>
      </c>
      <c r="W114" s="7">
        <f>ROUND($R114*(1-SUMIFS(PrefFlows!$C:$C,PrefFlows!$A:$A,$R$1,PrefFlows!$B:$B,$B114))+$S114*(1-SUMIFS(PrefFlows!$C:$C,PrefFlows!$A:$A,$S$1,PrefFlows!$B:$B,$B114))+$T114*(1-SUMIFS(PrefFlows!$C:$C,PrefFlows!$A:$A,$T$1,PrefFlows!$B:$B,$B114)),2)</f>
        <v>8.07</v>
      </c>
      <c r="X114" s="10">
        <f t="shared" si="36"/>
        <v>8.5500000000000007</v>
      </c>
      <c r="Y114" s="7">
        <f t="shared" si="37"/>
        <v>6.15</v>
      </c>
      <c r="Z114" s="10">
        <f t="shared" si="38"/>
        <v>0.45100000000000001</v>
      </c>
      <c r="AA114" s="10">
        <f t="shared" si="39"/>
        <v>0.58160000000000001</v>
      </c>
      <c r="AB114" s="10">
        <f t="shared" si="40"/>
        <v>0.13059999999999999</v>
      </c>
      <c r="AC114" s="7">
        <v>-2.8743678990227998E-2</v>
      </c>
      <c r="AD114" s="10">
        <f>ROUND(R114*(1-(Exhaust!$B$2+AC114)),2)</f>
        <v>0</v>
      </c>
      <c r="AE114" s="10">
        <f>ROUND(S114*(1-(Exhaust!$B$3+$AC114)),2)</f>
        <v>1.92</v>
      </c>
      <c r="AF114" s="7">
        <f>ROUND(T114*(1-(Exhaust!$B$4+$AC114)),2)</f>
        <v>6.16</v>
      </c>
      <c r="AG114" s="10">
        <f>ROUND($AD114*(SUMIFS(PrefFlows!$C:$C,PrefFlows!$A:$A,$R$1,PrefFlows!$B:$B,$B114)+$AB114)+$AE114*(SUMIFS(PrefFlows!$C:$C,PrefFlows!$A:$A,$S$1,PrefFlows!$B:$B,$B114)+$AB114)+$AF114*(SUMIFS(PrefFlows!$C:$C,PrefFlows!$A:$A,$T$1,PrefFlows!$B:$B,$B114)+$AB114),2)</f>
        <v>4.6100000000000003</v>
      </c>
      <c r="AH114" s="7">
        <f>ROUND($AD114*(1-(SUMIFS(PrefFlows!$C:$C,PrefFlows!$A:$A,$R$1,PrefFlows!$B:$B,$B114)+$AB114))+$AE114*(1-(SUMIFS(PrefFlows!$C:$C,PrefFlows!$A:$A,$S$1,PrefFlows!$B:$B,$B114)+$AB114))+$AF114*(1-(SUMIFS(PrefFlows!$C:$C,PrefFlows!$A:$A,$T$1,PrefFlows!$B:$B,$B114)+$AB114)),2)</f>
        <v>3.47</v>
      </c>
      <c r="AI114" s="10">
        <f t="shared" si="41"/>
        <v>70.14</v>
      </c>
      <c r="AJ114" s="7">
        <f t="shared" si="42"/>
        <v>23.24</v>
      </c>
      <c r="AK114" s="10">
        <f t="shared" si="43"/>
        <v>75.11</v>
      </c>
      <c r="AL114" s="7">
        <f t="shared" si="43"/>
        <v>24.89</v>
      </c>
      <c r="AM114" s="1">
        <f t="shared" si="48"/>
        <v>24.08</v>
      </c>
      <c r="AN114" s="1">
        <f t="shared" si="49"/>
        <v>25.29</v>
      </c>
      <c r="AO114" s="7">
        <f t="shared" si="50"/>
        <v>25.11</v>
      </c>
      <c r="AP114" s="1" t="b">
        <f t="shared" si="44"/>
        <v>0</v>
      </c>
      <c r="AQ114" s="1" t="b">
        <f t="shared" si="44"/>
        <v>0</v>
      </c>
      <c r="AR114" s="7" t="b">
        <f t="shared" si="45"/>
        <v>0</v>
      </c>
      <c r="AS114" s="1">
        <f t="shared" si="46"/>
        <v>1.2100000000000009</v>
      </c>
      <c r="AT114" s="1">
        <f t="shared" si="46"/>
        <v>1.0300000000000011</v>
      </c>
      <c r="AU114" s="7">
        <f t="shared" si="47"/>
        <v>0.17999999999999972</v>
      </c>
      <c r="AV114" s="1">
        <f>ROUND(IF(B114="NSW",N114*Meta!$B$6,N114),1)</f>
        <v>3504</v>
      </c>
      <c r="AW114" s="7">
        <f t="shared" si="51"/>
        <v>76354.8</v>
      </c>
    </row>
    <row r="115" spans="1:49" x14ac:dyDescent="0.55000000000000004">
      <c r="A115" s="11" t="s">
        <v>128</v>
      </c>
      <c r="B115" s="7" t="s">
        <v>13</v>
      </c>
      <c r="C115" s="10">
        <v>8.69</v>
      </c>
      <c r="D115" s="10">
        <v>10.029999999999999</v>
      </c>
      <c r="E115" s="10">
        <v>18.690000000000001</v>
      </c>
      <c r="F115" s="10">
        <v>0</v>
      </c>
      <c r="G115" s="10">
        <v>1.42</v>
      </c>
      <c r="H115" s="10">
        <v>3.33</v>
      </c>
      <c r="I115" s="10">
        <v>59.26</v>
      </c>
      <c r="J115" s="7">
        <f t="shared" si="30"/>
        <v>57.84</v>
      </c>
      <c r="K115" s="10">
        <v>63.21</v>
      </c>
      <c r="L115" s="7">
        <v>36.79</v>
      </c>
      <c r="M115" s="10">
        <v>82732</v>
      </c>
      <c r="N115" s="10">
        <v>2291</v>
      </c>
      <c r="O115" s="7">
        <f t="shared" si="31"/>
        <v>80441</v>
      </c>
      <c r="P115" s="10">
        <f>ROUND($C115+MIN($D115:$E115)*(1-SUMIFS(PrefFlows!$C:$C,PrefFlows!$A:$A,INDEX($D$1:$E$1,MATCH(MIN($D115:$E115),$D115:$E115,0)),PrefFlows!$B:$B,$B115)),2)</f>
        <v>9.5299999999999994</v>
      </c>
      <c r="Q115" s="10">
        <f>ROUND(MAX($D115:$E115)+MIN($D115:$E115)*SUMIFS(PrefFlows!$C:$C,PrefFlows!$A:$A,INDEX($D$1:$E$1,MATCH(MIN($D115:$E115),$D115:$E115,0)),PrefFlows!$B:$B,$B115),2)</f>
        <v>27.88</v>
      </c>
      <c r="R115" s="10">
        <f t="shared" si="32"/>
        <v>1.42</v>
      </c>
      <c r="S115" s="10">
        <f t="shared" si="33"/>
        <v>3.33</v>
      </c>
      <c r="T115" s="7">
        <f t="shared" si="34"/>
        <v>57.84</v>
      </c>
      <c r="U115" s="9">
        <f t="shared" si="35"/>
        <v>18.350000000000001</v>
      </c>
      <c r="V115" s="10">
        <f>ROUND($R115*SUMIFS(PrefFlows!$C:$C,PrefFlows!$A:$A,$R$1,PrefFlows!$B:$B,$B115)+$S115*SUMIFS(PrefFlows!$C:$C,PrefFlows!$A:$A,$S$1,PrefFlows!$B:$B,$B115)+$T115*SUMIFS(PrefFlows!$C:$C,PrefFlows!$A:$A,$T$1,PrefFlows!$B:$B,$B115),2)</f>
        <v>31.72</v>
      </c>
      <c r="W115" s="7">
        <f>ROUND($R115*(1-SUMIFS(PrefFlows!$C:$C,PrefFlows!$A:$A,$R$1,PrefFlows!$B:$B,$B115))+$S115*(1-SUMIFS(PrefFlows!$C:$C,PrefFlows!$A:$A,$S$1,PrefFlows!$B:$B,$B115))+$T115*(1-SUMIFS(PrefFlows!$C:$C,PrefFlows!$A:$A,$T$1,PrefFlows!$B:$B,$B115)),2)</f>
        <v>30.87</v>
      </c>
      <c r="X115" s="10">
        <f t="shared" si="36"/>
        <v>35.33</v>
      </c>
      <c r="Y115" s="7">
        <f t="shared" si="37"/>
        <v>27.26</v>
      </c>
      <c r="Z115" s="10">
        <f t="shared" si="38"/>
        <v>0.50680000000000003</v>
      </c>
      <c r="AA115" s="10">
        <f t="shared" si="39"/>
        <v>0.5645</v>
      </c>
      <c r="AB115" s="10">
        <f t="shared" si="40"/>
        <v>5.7700000000000001E-2</v>
      </c>
      <c r="AC115" s="7">
        <v>-2.6507012039496099E-3</v>
      </c>
      <c r="AD115" s="10">
        <f>ROUND(R115*(1-(Exhaust!$B$2+AC115)),2)</f>
        <v>0.63</v>
      </c>
      <c r="AE115" s="10">
        <f>ROUND(S115*(1-(Exhaust!$B$3+$AC115)),2)</f>
        <v>2.0099999999999998</v>
      </c>
      <c r="AF115" s="7">
        <f>ROUND(T115*(1-(Exhaust!$B$4+$AC115)),2)</f>
        <v>29.07</v>
      </c>
      <c r="AG115" s="10">
        <f>ROUND($AD115*(SUMIFS(PrefFlows!$C:$C,PrefFlows!$A:$A,$R$1,PrefFlows!$B:$B,$B115)+$AB115)+$AE115*(SUMIFS(PrefFlows!$C:$C,PrefFlows!$A:$A,$S$1,PrefFlows!$B:$B,$B115)+$AB115)+$AF115*(SUMIFS(PrefFlows!$C:$C,PrefFlows!$A:$A,$T$1,PrefFlows!$B:$B,$B115)+$AB115),2)</f>
        <v>17.79</v>
      </c>
      <c r="AH115" s="7">
        <f>ROUND($AD115*(1-(SUMIFS(PrefFlows!$C:$C,PrefFlows!$A:$A,$R$1,PrefFlows!$B:$B,$B115)+$AB115))+$AE115*(1-(SUMIFS(PrefFlows!$C:$C,PrefFlows!$A:$A,$S$1,PrefFlows!$B:$B,$B115)+$AB115))+$AF115*(1-(SUMIFS(PrefFlows!$C:$C,PrefFlows!$A:$A,$T$1,PrefFlows!$B:$B,$B115)+$AB115)),2)</f>
        <v>13.92</v>
      </c>
      <c r="AI115" s="10">
        <f t="shared" si="41"/>
        <v>45.67</v>
      </c>
      <c r="AJ115" s="7">
        <f t="shared" si="42"/>
        <v>23.45</v>
      </c>
      <c r="AK115" s="10">
        <f t="shared" si="43"/>
        <v>66.069999999999993</v>
      </c>
      <c r="AL115" s="7">
        <f t="shared" si="43"/>
        <v>33.93</v>
      </c>
      <c r="AM115" s="1">
        <f t="shared" si="48"/>
        <v>13.21</v>
      </c>
      <c r="AN115" s="1">
        <f t="shared" si="49"/>
        <v>16.11</v>
      </c>
      <c r="AO115" s="7">
        <f t="shared" si="50"/>
        <v>16.07</v>
      </c>
      <c r="AP115" s="1" t="b">
        <f t="shared" si="44"/>
        <v>0</v>
      </c>
      <c r="AQ115" s="1" t="b">
        <f t="shared" si="44"/>
        <v>0</v>
      </c>
      <c r="AR115" s="7" t="b">
        <f t="shared" si="45"/>
        <v>0</v>
      </c>
      <c r="AS115" s="1">
        <f t="shared" si="46"/>
        <v>2.8999999999999986</v>
      </c>
      <c r="AT115" s="1">
        <f t="shared" si="46"/>
        <v>2.8599999999999994</v>
      </c>
      <c r="AU115" s="7">
        <f t="shared" si="47"/>
        <v>3.9999999999999147E-2</v>
      </c>
      <c r="AV115" s="1">
        <f>ROUND(IF(B115="NSW",N115*Meta!$B$6,N115),1)</f>
        <v>1535</v>
      </c>
      <c r="AW115" s="7">
        <f t="shared" si="51"/>
        <v>56532.4</v>
      </c>
    </row>
    <row r="116" spans="1:49" x14ac:dyDescent="0.55000000000000004">
      <c r="A116" s="11" t="s">
        <v>129</v>
      </c>
      <c r="B116" s="7" t="s">
        <v>13</v>
      </c>
      <c r="C116" s="10">
        <v>45.98</v>
      </c>
      <c r="D116" s="10">
        <v>35.54</v>
      </c>
      <c r="E116" s="10">
        <v>0</v>
      </c>
      <c r="F116" s="10">
        <v>2.48</v>
      </c>
      <c r="G116" s="10">
        <v>0</v>
      </c>
      <c r="H116" s="10">
        <v>11.93</v>
      </c>
      <c r="I116" s="10">
        <v>4.07</v>
      </c>
      <c r="J116" s="7">
        <f t="shared" si="30"/>
        <v>6.55</v>
      </c>
      <c r="K116" s="10">
        <v>40.020000000000003</v>
      </c>
      <c r="L116" s="7">
        <v>59.98</v>
      </c>
      <c r="M116" s="10">
        <v>85589</v>
      </c>
      <c r="N116" s="10">
        <v>4271</v>
      </c>
      <c r="O116" s="7">
        <f t="shared" si="31"/>
        <v>81318</v>
      </c>
      <c r="P116" s="10">
        <f>ROUND($C116+MIN($D116:$E116)*(1-SUMIFS(PrefFlows!$C:$C,PrefFlows!$A:$A,INDEX($D$1:$E$1,MATCH(MIN($D116:$E116),$D116:$E116,0)),PrefFlows!$B:$B,$B116)),2)</f>
        <v>45.98</v>
      </c>
      <c r="Q116" s="10">
        <f>ROUND(MAX($D116:$E116)+MIN($D116:$E116)*SUMIFS(PrefFlows!$C:$C,PrefFlows!$A:$A,INDEX($D$1:$E$1,MATCH(MIN($D116:$E116),$D116:$E116,0)),PrefFlows!$B:$B,$B116),2)</f>
        <v>35.54</v>
      </c>
      <c r="R116" s="10">
        <f t="shared" si="32"/>
        <v>0</v>
      </c>
      <c r="S116" s="10">
        <f t="shared" si="33"/>
        <v>11.93</v>
      </c>
      <c r="T116" s="7">
        <f t="shared" si="34"/>
        <v>6.55</v>
      </c>
      <c r="U116" s="9">
        <f t="shared" si="35"/>
        <v>-10.44</v>
      </c>
      <c r="V116" s="10">
        <f>ROUND($R116*SUMIFS(PrefFlows!$C:$C,PrefFlows!$A:$A,$R$1,PrefFlows!$B:$B,$B116)+$S116*SUMIFS(PrefFlows!$C:$C,PrefFlows!$A:$A,$S$1,PrefFlows!$B:$B,$B116)+$T116*SUMIFS(PrefFlows!$C:$C,PrefFlows!$A:$A,$T$1,PrefFlows!$B:$B,$B116),2)</f>
        <v>5.55</v>
      </c>
      <c r="W116" s="7">
        <f>ROUND($R116*(1-SUMIFS(PrefFlows!$C:$C,PrefFlows!$A:$A,$R$1,PrefFlows!$B:$B,$B116))+$S116*(1-SUMIFS(PrefFlows!$C:$C,PrefFlows!$A:$A,$S$1,PrefFlows!$B:$B,$B116))+$T116*(1-SUMIFS(PrefFlows!$C:$C,PrefFlows!$A:$A,$T$1,PrefFlows!$B:$B,$B116)),2)</f>
        <v>12.93</v>
      </c>
      <c r="X116" s="10">
        <f t="shared" si="36"/>
        <v>4.4800000000000004</v>
      </c>
      <c r="Y116" s="7">
        <f t="shared" si="37"/>
        <v>14</v>
      </c>
      <c r="Z116" s="10">
        <f t="shared" si="38"/>
        <v>0.30030000000000001</v>
      </c>
      <c r="AA116" s="10">
        <f t="shared" si="39"/>
        <v>0.2424</v>
      </c>
      <c r="AB116" s="10">
        <f t="shared" si="40"/>
        <v>-5.79E-2</v>
      </c>
      <c r="AC116" s="7">
        <v>3.7039072843117402E-2</v>
      </c>
      <c r="AD116" s="10">
        <f>ROUND(R116*(1-(Exhaust!$B$2+AC116)),2)</f>
        <v>0</v>
      </c>
      <c r="AE116" s="10">
        <f>ROUND(S116*(1-(Exhaust!$B$3+$AC116)),2)</f>
        <v>6.72</v>
      </c>
      <c r="AF116" s="7">
        <f>ROUND(T116*(1-(Exhaust!$B$4+$AC116)),2)</f>
        <v>3.03</v>
      </c>
      <c r="AG116" s="10">
        <f>ROUND($AD116*(SUMIFS(PrefFlows!$C:$C,PrefFlows!$A:$A,$R$1,PrefFlows!$B:$B,$B116)+$AB116)+$AE116*(SUMIFS(PrefFlows!$C:$C,PrefFlows!$A:$A,$S$1,PrefFlows!$B:$B,$B116)+$AB116)+$AF116*(SUMIFS(PrefFlows!$C:$C,PrefFlows!$A:$A,$T$1,PrefFlows!$B:$B,$B116)+$AB116),2)</f>
        <v>2.21</v>
      </c>
      <c r="AH116" s="7">
        <f>ROUND($AD116*(1-(SUMIFS(PrefFlows!$C:$C,PrefFlows!$A:$A,$R$1,PrefFlows!$B:$B,$B116)+$AB116))+$AE116*(1-(SUMIFS(PrefFlows!$C:$C,PrefFlows!$A:$A,$S$1,PrefFlows!$B:$B,$B116)+$AB116))+$AF116*(1-(SUMIFS(PrefFlows!$C:$C,PrefFlows!$A:$A,$T$1,PrefFlows!$B:$B,$B116)+$AB116)),2)</f>
        <v>7.54</v>
      </c>
      <c r="AI116" s="10">
        <f t="shared" si="41"/>
        <v>37.75</v>
      </c>
      <c r="AJ116" s="7">
        <f t="shared" si="42"/>
        <v>53.52</v>
      </c>
      <c r="AK116" s="10">
        <f t="shared" si="43"/>
        <v>41.36</v>
      </c>
      <c r="AL116" s="7">
        <f t="shared" si="43"/>
        <v>58.64</v>
      </c>
      <c r="AM116" s="1">
        <f t="shared" si="48"/>
        <v>-9.98</v>
      </c>
      <c r="AN116" s="1">
        <f t="shared" si="49"/>
        <v>-8.44</v>
      </c>
      <c r="AO116" s="7">
        <f t="shared" si="50"/>
        <v>-8.64</v>
      </c>
      <c r="AP116" s="1" t="b">
        <f t="shared" si="44"/>
        <v>0</v>
      </c>
      <c r="AQ116" s="1" t="b">
        <f t="shared" si="44"/>
        <v>0</v>
      </c>
      <c r="AR116" s="7" t="b">
        <f t="shared" si="45"/>
        <v>0</v>
      </c>
      <c r="AS116" s="1">
        <f t="shared" si="46"/>
        <v>1.5400000000000009</v>
      </c>
      <c r="AT116" s="1">
        <f t="shared" si="46"/>
        <v>1.3399999999999999</v>
      </c>
      <c r="AU116" s="7">
        <f t="shared" si="47"/>
        <v>0.20000000000000107</v>
      </c>
      <c r="AV116" s="1">
        <f>ROUND(IF(B116="NSW",N116*Meta!$B$6,N116),1)</f>
        <v>2861.6</v>
      </c>
      <c r="AW116" s="7">
        <f t="shared" si="51"/>
        <v>76512.2</v>
      </c>
    </row>
    <row r="117" spans="1:49" x14ac:dyDescent="0.55000000000000004">
      <c r="A117" s="11" t="s">
        <v>130</v>
      </c>
      <c r="B117" s="7" t="s">
        <v>13</v>
      </c>
      <c r="C117" s="10">
        <v>27.26</v>
      </c>
      <c r="D117" s="10">
        <v>56.24</v>
      </c>
      <c r="E117" s="10">
        <v>0</v>
      </c>
      <c r="F117" s="10">
        <v>1.82</v>
      </c>
      <c r="G117" s="10">
        <v>0</v>
      </c>
      <c r="H117" s="10">
        <v>12.33</v>
      </c>
      <c r="I117" s="10">
        <v>2.35</v>
      </c>
      <c r="J117" s="7">
        <f t="shared" si="30"/>
        <v>4.17</v>
      </c>
      <c r="K117" s="10">
        <v>60.03</v>
      </c>
      <c r="L117" s="7">
        <v>39.97</v>
      </c>
      <c r="M117" s="10">
        <v>83233</v>
      </c>
      <c r="N117" s="10">
        <v>3034</v>
      </c>
      <c r="O117" s="7">
        <f t="shared" si="31"/>
        <v>80199</v>
      </c>
      <c r="P117" s="10">
        <f>ROUND($C117+MIN($D117:$E117)*(1-SUMIFS(PrefFlows!$C:$C,PrefFlows!$A:$A,INDEX($D$1:$E$1,MATCH(MIN($D117:$E117),$D117:$E117,0)),PrefFlows!$B:$B,$B117)),2)</f>
        <v>27.26</v>
      </c>
      <c r="Q117" s="10">
        <f>ROUND(MAX($D117:$E117)+MIN($D117:$E117)*SUMIFS(PrefFlows!$C:$C,PrefFlows!$A:$A,INDEX($D$1:$E$1,MATCH(MIN($D117:$E117),$D117:$E117,0)),PrefFlows!$B:$B,$B117),2)</f>
        <v>56.24</v>
      </c>
      <c r="R117" s="10">
        <f t="shared" si="32"/>
        <v>0</v>
      </c>
      <c r="S117" s="10">
        <f t="shared" si="33"/>
        <v>12.33</v>
      </c>
      <c r="T117" s="7">
        <f t="shared" si="34"/>
        <v>4.17</v>
      </c>
      <c r="U117" s="9">
        <f t="shared" si="35"/>
        <v>28.98</v>
      </c>
      <c r="V117" s="10">
        <f>ROUND($R117*SUMIFS(PrefFlows!$C:$C,PrefFlows!$A:$A,$R$1,PrefFlows!$B:$B,$B117)+$S117*SUMIFS(PrefFlows!$C:$C,PrefFlows!$A:$A,$S$1,PrefFlows!$B:$B,$B117)+$T117*SUMIFS(PrefFlows!$C:$C,PrefFlows!$A:$A,$T$1,PrefFlows!$B:$B,$B117),2)</f>
        <v>4.37</v>
      </c>
      <c r="W117" s="7">
        <f>ROUND($R117*(1-SUMIFS(PrefFlows!$C:$C,PrefFlows!$A:$A,$R$1,PrefFlows!$B:$B,$B117))+$S117*(1-SUMIFS(PrefFlows!$C:$C,PrefFlows!$A:$A,$S$1,PrefFlows!$B:$B,$B117))+$T117*(1-SUMIFS(PrefFlows!$C:$C,PrefFlows!$A:$A,$T$1,PrefFlows!$B:$B,$B117)),2)</f>
        <v>12.13</v>
      </c>
      <c r="X117" s="10">
        <f t="shared" si="36"/>
        <v>3.79</v>
      </c>
      <c r="Y117" s="7">
        <f t="shared" si="37"/>
        <v>12.71</v>
      </c>
      <c r="Z117" s="10">
        <f t="shared" si="38"/>
        <v>0.26479999999999998</v>
      </c>
      <c r="AA117" s="10">
        <f t="shared" si="39"/>
        <v>0.22969999999999999</v>
      </c>
      <c r="AB117" s="10">
        <f t="shared" si="40"/>
        <v>-3.5099999999999999E-2</v>
      </c>
      <c r="AC117" s="7">
        <v>-7.2545488763555701E-3</v>
      </c>
      <c r="AD117" s="10">
        <f>ROUND(R117*(1-(Exhaust!$B$2+AC117)),2)</f>
        <v>0</v>
      </c>
      <c r="AE117" s="10">
        <f>ROUND(S117*(1-(Exhaust!$B$3+$AC117)),2)</f>
        <v>7.49</v>
      </c>
      <c r="AF117" s="7">
        <f>ROUND(T117*(1-(Exhaust!$B$4+$AC117)),2)</f>
        <v>2.12</v>
      </c>
      <c r="AG117" s="10">
        <f>ROUND($AD117*(SUMIFS(PrefFlows!$C:$C,PrefFlows!$A:$A,$R$1,PrefFlows!$B:$B,$B117)+$AB117)+$AE117*(SUMIFS(PrefFlows!$C:$C,PrefFlows!$A:$A,$S$1,PrefFlows!$B:$B,$B117)+$AB117)+$AF117*(SUMIFS(PrefFlows!$C:$C,PrefFlows!$A:$A,$T$1,PrefFlows!$B:$B,$B117)+$AB117),2)</f>
        <v>2.1</v>
      </c>
      <c r="AH117" s="7">
        <f>ROUND($AD117*(1-(SUMIFS(PrefFlows!$C:$C,PrefFlows!$A:$A,$R$1,PrefFlows!$B:$B,$B117)+$AB117))+$AE117*(1-(SUMIFS(PrefFlows!$C:$C,PrefFlows!$A:$A,$S$1,PrefFlows!$B:$B,$B117)+$AB117))+$AF117*(1-(SUMIFS(PrefFlows!$C:$C,PrefFlows!$A:$A,$T$1,PrefFlows!$B:$B,$B117)+$AB117)),2)</f>
        <v>7.51</v>
      </c>
      <c r="AI117" s="10">
        <f t="shared" si="41"/>
        <v>58.34</v>
      </c>
      <c r="AJ117" s="7">
        <f t="shared" si="42"/>
        <v>34.770000000000003</v>
      </c>
      <c r="AK117" s="10">
        <f t="shared" si="43"/>
        <v>62.66</v>
      </c>
      <c r="AL117" s="7">
        <f t="shared" si="43"/>
        <v>37.340000000000003</v>
      </c>
      <c r="AM117" s="1">
        <f t="shared" si="48"/>
        <v>10.029999999999999</v>
      </c>
      <c r="AN117" s="1">
        <f t="shared" si="49"/>
        <v>13.22</v>
      </c>
      <c r="AO117" s="7">
        <f t="shared" si="50"/>
        <v>12.66</v>
      </c>
      <c r="AP117" s="1" t="b">
        <f t="shared" si="44"/>
        <v>0</v>
      </c>
      <c r="AQ117" s="1" t="b">
        <f t="shared" si="44"/>
        <v>0</v>
      </c>
      <c r="AR117" s="7" t="b">
        <f t="shared" si="45"/>
        <v>0</v>
      </c>
      <c r="AS117" s="1">
        <f t="shared" si="46"/>
        <v>3.1900000000000013</v>
      </c>
      <c r="AT117" s="1">
        <f t="shared" si="46"/>
        <v>2.6300000000000008</v>
      </c>
      <c r="AU117" s="7">
        <f t="shared" si="47"/>
        <v>0.5600000000000005</v>
      </c>
      <c r="AV117" s="1">
        <f>ROUND(IF(B117="NSW",N117*Meta!$B$6,N117),1)</f>
        <v>2032.8</v>
      </c>
      <c r="AW117" s="7">
        <f t="shared" si="51"/>
        <v>76335.199999999997</v>
      </c>
    </row>
    <row r="118" spans="1:49" x14ac:dyDescent="0.55000000000000004">
      <c r="A118" s="11" t="s">
        <v>131</v>
      </c>
      <c r="B118" s="7" t="s">
        <v>31</v>
      </c>
      <c r="C118" s="10">
        <v>18.57</v>
      </c>
      <c r="D118" s="10">
        <v>53.25</v>
      </c>
      <c r="E118" s="10">
        <v>9.44</v>
      </c>
      <c r="F118" s="10">
        <v>0.7</v>
      </c>
      <c r="G118" s="10">
        <v>4.3499999999999996</v>
      </c>
      <c r="H118" s="10">
        <v>6.73</v>
      </c>
      <c r="I118" s="10">
        <v>11.31</v>
      </c>
      <c r="J118" s="7">
        <f t="shared" si="30"/>
        <v>7.66</v>
      </c>
      <c r="K118" s="10">
        <v>70.39</v>
      </c>
      <c r="L118" s="7">
        <v>29.61</v>
      </c>
      <c r="M118" s="10">
        <v>77254</v>
      </c>
      <c r="N118" s="10">
        <v>4245</v>
      </c>
      <c r="O118" s="7">
        <f t="shared" si="31"/>
        <v>73009</v>
      </c>
      <c r="P118" s="10">
        <f>ROUND($C118+MIN($D118:$E118)*(1-SUMIFS(PrefFlows!$C:$C,PrefFlows!$A:$A,INDEX($D$1:$E$1,MATCH(MIN($D118:$E118),$D118:$E118,0)),PrefFlows!$B:$B,$B118)),2)</f>
        <v>19.77</v>
      </c>
      <c r="Q118" s="10">
        <f>ROUND(MAX($D118:$E118)+MIN($D118:$E118)*SUMIFS(PrefFlows!$C:$C,PrefFlows!$A:$A,INDEX($D$1:$E$1,MATCH(MIN($D118:$E118),$D118:$E118,0)),PrefFlows!$B:$B,$B118),2)</f>
        <v>61.49</v>
      </c>
      <c r="R118" s="10">
        <f t="shared" si="32"/>
        <v>4.3499999999999996</v>
      </c>
      <c r="S118" s="10">
        <f t="shared" si="33"/>
        <v>6.73</v>
      </c>
      <c r="T118" s="7">
        <f t="shared" si="34"/>
        <v>7.66</v>
      </c>
      <c r="U118" s="9">
        <f t="shared" si="35"/>
        <v>41.72</v>
      </c>
      <c r="V118" s="10">
        <f>ROUND($R118*SUMIFS(PrefFlows!$C:$C,PrefFlows!$A:$A,$R$1,PrefFlows!$B:$B,$B118)+$S118*SUMIFS(PrefFlows!$C:$C,PrefFlows!$A:$A,$S$1,PrefFlows!$B:$B,$B118)+$T118*SUMIFS(PrefFlows!$C:$C,PrefFlows!$A:$A,$T$1,PrefFlows!$B:$B,$B118),2)</f>
        <v>7.97</v>
      </c>
      <c r="W118" s="7">
        <f>ROUND($R118*(1-SUMIFS(PrefFlows!$C:$C,PrefFlows!$A:$A,$R$1,PrefFlows!$B:$B,$B118))+$S118*(1-SUMIFS(PrefFlows!$C:$C,PrefFlows!$A:$A,$S$1,PrefFlows!$B:$B,$B118))+$T118*(1-SUMIFS(PrefFlows!$C:$C,PrefFlows!$A:$A,$T$1,PrefFlows!$B:$B,$B118)),2)</f>
        <v>10.77</v>
      </c>
      <c r="X118" s="10">
        <f t="shared" si="36"/>
        <v>8.9</v>
      </c>
      <c r="Y118" s="7">
        <f t="shared" si="37"/>
        <v>9.84</v>
      </c>
      <c r="Z118" s="10">
        <f t="shared" si="38"/>
        <v>0.42530000000000001</v>
      </c>
      <c r="AA118" s="10">
        <f t="shared" si="39"/>
        <v>0.47489999999999999</v>
      </c>
      <c r="AB118" s="10">
        <f t="shared" si="40"/>
        <v>4.9599999999999998E-2</v>
      </c>
      <c r="AC118" s="7">
        <v>4.0197029695944402E-2</v>
      </c>
      <c r="AD118" s="10">
        <f>ROUND(R118*(1-(Exhaust!$B$2+AC118)),2)</f>
        <v>1.74</v>
      </c>
      <c r="AE118" s="10">
        <f>ROUND(S118*(1-(Exhaust!$B$3+$AC118)),2)</f>
        <v>3.77</v>
      </c>
      <c r="AF118" s="7">
        <f>ROUND(T118*(1-(Exhaust!$B$4+$AC118)),2)</f>
        <v>3.52</v>
      </c>
      <c r="AG118" s="10">
        <f>ROUND($AD118*(SUMIFS(PrefFlows!$C:$C,PrefFlows!$A:$A,$R$1,PrefFlows!$B:$B,$B118)+$AB118)+$AE118*(SUMIFS(PrefFlows!$C:$C,PrefFlows!$A:$A,$S$1,PrefFlows!$B:$B,$B118)+$AB118)+$AF118*(SUMIFS(PrefFlows!$C:$C,PrefFlows!$A:$A,$T$1,PrefFlows!$B:$B,$B118)+$AB118),2)</f>
        <v>4.12</v>
      </c>
      <c r="AH118" s="7">
        <f>ROUND($AD118*(1-(SUMIFS(PrefFlows!$C:$C,PrefFlows!$A:$A,$R$1,PrefFlows!$B:$B,$B118)+$AB118))+$AE118*(1-(SUMIFS(PrefFlows!$C:$C,PrefFlows!$A:$A,$S$1,PrefFlows!$B:$B,$B118)+$AB118))+$AF118*(1-(SUMIFS(PrefFlows!$C:$C,PrefFlows!$A:$A,$T$1,PrefFlows!$B:$B,$B118)+$AB118)),2)</f>
        <v>4.91</v>
      </c>
      <c r="AI118" s="10">
        <f t="shared" si="41"/>
        <v>65.61</v>
      </c>
      <c r="AJ118" s="7">
        <f t="shared" si="42"/>
        <v>24.68</v>
      </c>
      <c r="AK118" s="10">
        <f t="shared" si="43"/>
        <v>72.67</v>
      </c>
      <c r="AL118" s="7">
        <f t="shared" si="43"/>
        <v>27.33</v>
      </c>
      <c r="AM118" s="1">
        <f t="shared" si="48"/>
        <v>20.39</v>
      </c>
      <c r="AN118" s="1">
        <f t="shared" si="49"/>
        <v>22.65</v>
      </c>
      <c r="AO118" s="7">
        <f t="shared" si="50"/>
        <v>22.67</v>
      </c>
      <c r="AP118" s="1" t="b">
        <f t="shared" si="44"/>
        <v>0</v>
      </c>
      <c r="AQ118" s="1" t="b">
        <f t="shared" si="44"/>
        <v>0</v>
      </c>
      <c r="AR118" s="7" t="b">
        <f t="shared" si="45"/>
        <v>0</v>
      </c>
      <c r="AS118" s="1">
        <f t="shared" si="46"/>
        <v>2.259999999999998</v>
      </c>
      <c r="AT118" s="1">
        <f t="shared" si="46"/>
        <v>2.2800000000000011</v>
      </c>
      <c r="AU118" s="7">
        <f t="shared" si="47"/>
        <v>2.0000000000003126E-2</v>
      </c>
      <c r="AV118" s="1">
        <f>ROUND(IF(B118="NSW",N118*Meta!$B$6,N118),1)</f>
        <v>4245</v>
      </c>
      <c r="AW118" s="7">
        <f t="shared" si="51"/>
        <v>67397.399999999994</v>
      </c>
    </row>
    <row r="119" spans="1:49" x14ac:dyDescent="0.55000000000000004">
      <c r="A119" s="11" t="s">
        <v>132</v>
      </c>
      <c r="B119" s="7" t="s">
        <v>23</v>
      </c>
      <c r="C119" s="10">
        <v>50.47</v>
      </c>
      <c r="D119" s="10">
        <v>33.630000000000003</v>
      </c>
      <c r="E119" s="10">
        <v>0</v>
      </c>
      <c r="F119" s="10">
        <v>1.1399999999999999</v>
      </c>
      <c r="G119" s="10">
        <v>2.66</v>
      </c>
      <c r="H119" s="10">
        <v>4.4000000000000004</v>
      </c>
      <c r="I119" s="10">
        <v>10.36</v>
      </c>
      <c r="J119" s="7">
        <f t="shared" si="30"/>
        <v>8.84</v>
      </c>
      <c r="K119" s="10">
        <v>40.28</v>
      </c>
      <c r="L119" s="7">
        <v>59.72</v>
      </c>
      <c r="M119" s="10">
        <v>84813</v>
      </c>
      <c r="N119" s="10">
        <v>5936</v>
      </c>
      <c r="O119" s="7">
        <f t="shared" si="31"/>
        <v>78877</v>
      </c>
      <c r="P119" s="10">
        <f>ROUND($C119+MIN($D119:$E119)*(1-SUMIFS(PrefFlows!$C:$C,PrefFlows!$A:$A,INDEX($D$1:$E$1,MATCH(MIN($D119:$E119),$D119:$E119,0)),PrefFlows!$B:$B,$B119)),2)</f>
        <v>50.47</v>
      </c>
      <c r="Q119" s="10">
        <f>ROUND(MAX($D119:$E119)+MIN($D119:$E119)*SUMIFS(PrefFlows!$C:$C,PrefFlows!$A:$A,INDEX($D$1:$E$1,MATCH(MIN($D119:$E119),$D119:$E119,0)),PrefFlows!$B:$B,$B119),2)</f>
        <v>33.630000000000003</v>
      </c>
      <c r="R119" s="10">
        <f t="shared" si="32"/>
        <v>2.66</v>
      </c>
      <c r="S119" s="10">
        <f t="shared" si="33"/>
        <v>4.4000000000000004</v>
      </c>
      <c r="T119" s="7">
        <f t="shared" si="34"/>
        <v>8.84</v>
      </c>
      <c r="U119" s="9">
        <f t="shared" si="35"/>
        <v>-16.84</v>
      </c>
      <c r="V119" s="10">
        <f>ROUND($R119*SUMIFS(PrefFlows!$C:$C,PrefFlows!$A:$A,$R$1,PrefFlows!$B:$B,$B119)+$S119*SUMIFS(PrefFlows!$C:$C,PrefFlows!$A:$A,$S$1,PrefFlows!$B:$B,$B119)+$T119*SUMIFS(PrefFlows!$C:$C,PrefFlows!$A:$A,$T$1,PrefFlows!$B:$B,$B119),2)</f>
        <v>7.18</v>
      </c>
      <c r="W119" s="7">
        <f>ROUND($R119*(1-SUMIFS(PrefFlows!$C:$C,PrefFlows!$A:$A,$R$1,PrefFlows!$B:$B,$B119))+$S119*(1-SUMIFS(PrefFlows!$C:$C,PrefFlows!$A:$A,$S$1,PrefFlows!$B:$B,$B119))+$T119*(1-SUMIFS(PrefFlows!$C:$C,PrefFlows!$A:$A,$T$1,PrefFlows!$B:$B,$B119)),2)</f>
        <v>8.7200000000000006</v>
      </c>
      <c r="X119" s="10">
        <f t="shared" si="36"/>
        <v>6.65</v>
      </c>
      <c r="Y119" s="7">
        <f t="shared" si="37"/>
        <v>9.25</v>
      </c>
      <c r="Z119" s="10">
        <f t="shared" si="38"/>
        <v>0.4516</v>
      </c>
      <c r="AA119" s="10">
        <f t="shared" si="39"/>
        <v>0.41820000000000002</v>
      </c>
      <c r="AB119" s="10">
        <f t="shared" si="40"/>
        <v>-3.3399999999999999E-2</v>
      </c>
      <c r="AC119" s="7">
        <v>3.2168040481126398E-2</v>
      </c>
      <c r="AD119" s="10">
        <f>ROUND(R119*(1-(Exhaust!$B$2+AC119)),2)</f>
        <v>1.08</v>
      </c>
      <c r="AE119" s="10">
        <f>ROUND(S119*(1-(Exhaust!$B$3+$AC119)),2)</f>
        <v>2.5</v>
      </c>
      <c r="AF119" s="7">
        <f>ROUND(T119*(1-(Exhaust!$B$4+$AC119)),2)</f>
        <v>4.1399999999999997</v>
      </c>
      <c r="AG119" s="10">
        <f>ROUND($AD119*(SUMIFS(PrefFlows!$C:$C,PrefFlows!$A:$A,$R$1,PrefFlows!$B:$B,$B119)+$AB119)+$AE119*(SUMIFS(PrefFlows!$C:$C,PrefFlows!$A:$A,$S$1,PrefFlows!$B:$B,$B119)+$AB119)+$AF119*(SUMIFS(PrefFlows!$C:$C,PrefFlows!$A:$A,$T$1,PrefFlows!$B:$B,$B119)+$AB119),2)</f>
        <v>3.12</v>
      </c>
      <c r="AH119" s="7">
        <f>ROUND($AD119*(1-(SUMIFS(PrefFlows!$C:$C,PrefFlows!$A:$A,$R$1,PrefFlows!$B:$B,$B119)+$AB119))+$AE119*(1-(SUMIFS(PrefFlows!$C:$C,PrefFlows!$A:$A,$S$1,PrefFlows!$B:$B,$B119)+$AB119))+$AF119*(1-(SUMIFS(PrefFlows!$C:$C,PrefFlows!$A:$A,$T$1,PrefFlows!$B:$B,$B119)+$AB119)),2)</f>
        <v>4.5999999999999996</v>
      </c>
      <c r="AI119" s="10">
        <f t="shared" si="41"/>
        <v>36.75</v>
      </c>
      <c r="AJ119" s="7">
        <f t="shared" si="42"/>
        <v>55.07</v>
      </c>
      <c r="AK119" s="10">
        <f t="shared" si="43"/>
        <v>40.020000000000003</v>
      </c>
      <c r="AL119" s="7">
        <f t="shared" si="43"/>
        <v>59.98</v>
      </c>
      <c r="AM119" s="1">
        <f t="shared" si="48"/>
        <v>-9.7200000000000006</v>
      </c>
      <c r="AN119" s="1">
        <f t="shared" si="49"/>
        <v>-9.85</v>
      </c>
      <c r="AO119" s="7">
        <f t="shared" si="50"/>
        <v>-9.98</v>
      </c>
      <c r="AP119" s="1" t="b">
        <f t="shared" si="44"/>
        <v>0</v>
      </c>
      <c r="AQ119" s="1" t="b">
        <f t="shared" si="44"/>
        <v>0</v>
      </c>
      <c r="AR119" s="7" t="b">
        <f t="shared" si="45"/>
        <v>0</v>
      </c>
      <c r="AS119" s="1">
        <f t="shared" si="46"/>
        <v>-0.12999999999999901</v>
      </c>
      <c r="AT119" s="1">
        <f t="shared" si="46"/>
        <v>-0.25999999999999979</v>
      </c>
      <c r="AU119" s="7">
        <f t="shared" si="47"/>
        <v>0.13000000000000078</v>
      </c>
      <c r="AV119" s="1">
        <f>ROUND(IF(B119="NSW",N119*Meta!$B$6,N119),1)</f>
        <v>5936</v>
      </c>
      <c r="AW119" s="7">
        <f t="shared" si="51"/>
        <v>74526.100000000006</v>
      </c>
    </row>
    <row r="120" spans="1:49" x14ac:dyDescent="0.55000000000000004">
      <c r="A120" s="11" t="s">
        <v>133</v>
      </c>
      <c r="B120" s="7" t="s">
        <v>13</v>
      </c>
      <c r="C120" s="10">
        <v>33.11</v>
      </c>
      <c r="D120" s="10">
        <v>0</v>
      </c>
      <c r="E120" s="10">
        <v>48.48</v>
      </c>
      <c r="F120" s="10">
        <v>0</v>
      </c>
      <c r="G120" s="10">
        <v>0</v>
      </c>
      <c r="H120" s="10">
        <v>10.82</v>
      </c>
      <c r="I120" s="10">
        <v>7.59</v>
      </c>
      <c r="J120" s="7">
        <f t="shared" si="30"/>
        <v>7.59</v>
      </c>
      <c r="K120" s="10">
        <v>54.23</v>
      </c>
      <c r="L120" s="7">
        <v>45.77</v>
      </c>
      <c r="M120" s="10">
        <v>81060</v>
      </c>
      <c r="N120" s="10">
        <v>3427</v>
      </c>
      <c r="O120" s="7">
        <f t="shared" si="31"/>
        <v>77633</v>
      </c>
      <c r="P120" s="10">
        <f>ROUND($C120+MIN($D120:$E120)*(1-SUMIFS(PrefFlows!$C:$C,PrefFlows!$A:$A,INDEX($D$1:$E$1,MATCH(MIN($D120:$E120),$D120:$E120,0)),PrefFlows!$B:$B,$B120)),2)</f>
        <v>33.11</v>
      </c>
      <c r="Q120" s="10">
        <f>ROUND(MAX($D120:$E120)+MIN($D120:$E120)*SUMIFS(PrefFlows!$C:$C,PrefFlows!$A:$A,INDEX($D$1:$E$1,MATCH(MIN($D120:$E120),$D120:$E120,0)),PrefFlows!$B:$B,$B120),2)</f>
        <v>48.48</v>
      </c>
      <c r="R120" s="10">
        <f t="shared" si="32"/>
        <v>0</v>
      </c>
      <c r="S120" s="10">
        <f t="shared" si="33"/>
        <v>10.82</v>
      </c>
      <c r="T120" s="7">
        <f t="shared" si="34"/>
        <v>7.59</v>
      </c>
      <c r="U120" s="9">
        <f t="shared" si="35"/>
        <v>15.37</v>
      </c>
      <c r="V120" s="10">
        <f>ROUND($R120*SUMIFS(PrefFlows!$C:$C,PrefFlows!$A:$A,$R$1,PrefFlows!$B:$B,$B120)+$S120*SUMIFS(PrefFlows!$C:$C,PrefFlows!$A:$A,$S$1,PrefFlows!$B:$B,$B120)+$T120*SUMIFS(PrefFlows!$C:$C,PrefFlows!$A:$A,$T$1,PrefFlows!$B:$B,$B120),2)</f>
        <v>5.9</v>
      </c>
      <c r="W120" s="7">
        <f>ROUND($R120*(1-SUMIFS(PrefFlows!$C:$C,PrefFlows!$A:$A,$R$1,PrefFlows!$B:$B,$B120))+$S120*(1-SUMIFS(PrefFlows!$C:$C,PrefFlows!$A:$A,$S$1,PrefFlows!$B:$B,$B120))+$T120*(1-SUMIFS(PrefFlows!$C:$C,PrefFlows!$A:$A,$T$1,PrefFlows!$B:$B,$B120)),2)</f>
        <v>12.51</v>
      </c>
      <c r="X120" s="10">
        <f t="shared" si="36"/>
        <v>5.75</v>
      </c>
      <c r="Y120" s="7">
        <f t="shared" si="37"/>
        <v>12.66</v>
      </c>
      <c r="Z120" s="10">
        <f t="shared" si="38"/>
        <v>0.32050000000000001</v>
      </c>
      <c r="AA120" s="10">
        <f t="shared" si="39"/>
        <v>0.31230000000000002</v>
      </c>
      <c r="AB120" s="10">
        <f t="shared" si="40"/>
        <v>-8.2000000000000007E-3</v>
      </c>
      <c r="AC120" s="7">
        <v>1.4322530773460599E-2</v>
      </c>
      <c r="AD120" s="10">
        <f>ROUND(R120*(1-(Exhaust!$B$2+AC120)),2)</f>
        <v>0</v>
      </c>
      <c r="AE120" s="10">
        <f>ROUND(S120*(1-(Exhaust!$B$3+$AC120)),2)</f>
        <v>6.34</v>
      </c>
      <c r="AF120" s="7">
        <f>ROUND(T120*(1-(Exhaust!$B$4+$AC120)),2)</f>
        <v>3.69</v>
      </c>
      <c r="AG120" s="10">
        <f>ROUND($AD120*(SUMIFS(PrefFlows!$C:$C,PrefFlows!$A:$A,$R$1,PrefFlows!$B:$B,$B120)+$AB120)+$AE120*(SUMIFS(PrefFlows!$C:$C,PrefFlows!$A:$A,$S$1,PrefFlows!$B:$B,$B120)+$AB120)+$AF120*(SUMIFS(PrefFlows!$C:$C,PrefFlows!$A:$A,$T$1,PrefFlows!$B:$B,$B120)+$AB120),2)</f>
        <v>2.98</v>
      </c>
      <c r="AH120" s="7">
        <f>ROUND($AD120*(1-(SUMIFS(PrefFlows!$C:$C,PrefFlows!$A:$A,$R$1,PrefFlows!$B:$B,$B120)+$AB120))+$AE120*(1-(SUMIFS(PrefFlows!$C:$C,PrefFlows!$A:$A,$S$1,PrefFlows!$B:$B,$B120)+$AB120))+$AF120*(1-(SUMIFS(PrefFlows!$C:$C,PrefFlows!$A:$A,$T$1,PrefFlows!$B:$B,$B120)+$AB120)),2)</f>
        <v>7.05</v>
      </c>
      <c r="AI120" s="10">
        <f t="shared" si="41"/>
        <v>51.46</v>
      </c>
      <c r="AJ120" s="7">
        <f t="shared" si="42"/>
        <v>40.159999999999997</v>
      </c>
      <c r="AK120" s="10">
        <f t="shared" si="43"/>
        <v>56.17</v>
      </c>
      <c r="AL120" s="7">
        <f t="shared" si="43"/>
        <v>43.83</v>
      </c>
      <c r="AM120" s="1">
        <f t="shared" si="48"/>
        <v>4.2300000000000004</v>
      </c>
      <c r="AN120" s="1">
        <f t="shared" si="49"/>
        <v>6.46</v>
      </c>
      <c r="AO120" s="7">
        <f t="shared" si="50"/>
        <v>6.17</v>
      </c>
      <c r="AP120" s="1" t="b">
        <f t="shared" si="44"/>
        <v>0</v>
      </c>
      <c r="AQ120" s="1" t="b">
        <f t="shared" si="44"/>
        <v>0</v>
      </c>
      <c r="AR120" s="7" t="b">
        <f t="shared" si="45"/>
        <v>0</v>
      </c>
      <c r="AS120" s="1">
        <f t="shared" si="46"/>
        <v>2.2299999999999995</v>
      </c>
      <c r="AT120" s="1">
        <f t="shared" si="46"/>
        <v>1.9399999999999995</v>
      </c>
      <c r="AU120" s="7">
        <f t="shared" si="47"/>
        <v>0.29000000000000004</v>
      </c>
      <c r="AV120" s="1">
        <f>ROUND(IF(B120="NSW",N120*Meta!$B$6,N120),1)</f>
        <v>2296.1</v>
      </c>
      <c r="AW120" s="7">
        <f t="shared" si="51"/>
        <v>72974.5</v>
      </c>
    </row>
    <row r="121" spans="1:49" x14ac:dyDescent="0.55000000000000004">
      <c r="A121" s="11" t="s">
        <v>134</v>
      </c>
      <c r="B121" s="7" t="s">
        <v>13</v>
      </c>
      <c r="C121" s="10">
        <v>31.28</v>
      </c>
      <c r="D121" s="10">
        <v>0</v>
      </c>
      <c r="E121" s="10">
        <v>60.49</v>
      </c>
      <c r="F121" s="10">
        <v>0</v>
      </c>
      <c r="G121" s="10">
        <v>0</v>
      </c>
      <c r="H121" s="10">
        <v>3.42</v>
      </c>
      <c r="I121" s="10">
        <v>4.8099999999999996</v>
      </c>
      <c r="J121" s="7">
        <f t="shared" si="30"/>
        <v>4.8099999999999996</v>
      </c>
      <c r="K121" s="10">
        <v>64.400000000000006</v>
      </c>
      <c r="L121" s="7">
        <v>35.6</v>
      </c>
      <c r="M121" s="10">
        <v>78436</v>
      </c>
      <c r="N121" s="10">
        <v>3101</v>
      </c>
      <c r="O121" s="7">
        <f t="shared" si="31"/>
        <v>75335</v>
      </c>
      <c r="P121" s="10">
        <f>ROUND($C121+MIN($D121:$E121)*(1-SUMIFS(PrefFlows!$C:$C,PrefFlows!$A:$A,INDEX($D$1:$E$1,MATCH(MIN($D121:$E121),$D121:$E121,0)),PrefFlows!$B:$B,$B121)),2)</f>
        <v>31.28</v>
      </c>
      <c r="Q121" s="10">
        <f>ROUND(MAX($D121:$E121)+MIN($D121:$E121)*SUMIFS(PrefFlows!$C:$C,PrefFlows!$A:$A,INDEX($D$1:$E$1,MATCH(MIN($D121:$E121),$D121:$E121,0)),PrefFlows!$B:$B,$B121),2)</f>
        <v>60.49</v>
      </c>
      <c r="R121" s="10">
        <f t="shared" si="32"/>
        <v>0</v>
      </c>
      <c r="S121" s="10">
        <f t="shared" si="33"/>
        <v>3.42</v>
      </c>
      <c r="T121" s="7">
        <f t="shared" si="34"/>
        <v>4.8099999999999996</v>
      </c>
      <c r="U121" s="9">
        <f t="shared" si="35"/>
        <v>29.21</v>
      </c>
      <c r="V121" s="10">
        <f>ROUND($R121*SUMIFS(PrefFlows!$C:$C,PrefFlows!$A:$A,$R$1,PrefFlows!$B:$B,$B121)+$S121*SUMIFS(PrefFlows!$C:$C,PrefFlows!$A:$A,$S$1,PrefFlows!$B:$B,$B121)+$T121*SUMIFS(PrefFlows!$C:$C,PrefFlows!$A:$A,$T$1,PrefFlows!$B:$B,$B121),2)</f>
        <v>3.13</v>
      </c>
      <c r="W121" s="7">
        <f>ROUND($R121*(1-SUMIFS(PrefFlows!$C:$C,PrefFlows!$A:$A,$R$1,PrefFlows!$B:$B,$B121))+$S121*(1-SUMIFS(PrefFlows!$C:$C,PrefFlows!$A:$A,$S$1,PrefFlows!$B:$B,$B121))+$T121*(1-SUMIFS(PrefFlows!$C:$C,PrefFlows!$A:$A,$T$1,PrefFlows!$B:$B,$B121)),2)</f>
        <v>5.0999999999999996</v>
      </c>
      <c r="X121" s="10">
        <f t="shared" si="36"/>
        <v>3.91</v>
      </c>
      <c r="Y121" s="7">
        <f t="shared" si="37"/>
        <v>4.32</v>
      </c>
      <c r="Z121" s="10">
        <f t="shared" si="38"/>
        <v>0.38030000000000003</v>
      </c>
      <c r="AA121" s="10">
        <f t="shared" si="39"/>
        <v>0.47510000000000002</v>
      </c>
      <c r="AB121" s="10">
        <f t="shared" si="40"/>
        <v>9.4799999999999995E-2</v>
      </c>
      <c r="AC121" s="7">
        <v>2.68530339589939E-2</v>
      </c>
      <c r="AD121" s="10">
        <f>ROUND(R121*(1-(Exhaust!$B$2+AC121)),2)</f>
        <v>0</v>
      </c>
      <c r="AE121" s="10">
        <f>ROUND(S121*(1-(Exhaust!$B$3+$AC121)),2)</f>
        <v>1.96</v>
      </c>
      <c r="AF121" s="7">
        <f>ROUND(T121*(1-(Exhaust!$B$4+$AC121)),2)</f>
        <v>2.2799999999999998</v>
      </c>
      <c r="AG121" s="10">
        <f>ROUND($AD121*(SUMIFS(PrefFlows!$C:$C,PrefFlows!$A:$A,$R$1,PrefFlows!$B:$B,$B121)+$AB121)+$AE121*(SUMIFS(PrefFlows!$C:$C,PrefFlows!$A:$A,$S$1,PrefFlows!$B:$B,$B121)+$AB121)+$AF121*(SUMIFS(PrefFlows!$C:$C,PrefFlows!$A:$A,$T$1,PrefFlows!$B:$B,$B121)+$AB121),2)</f>
        <v>1.95</v>
      </c>
      <c r="AH121" s="7">
        <f>ROUND($AD121*(1-(SUMIFS(PrefFlows!$C:$C,PrefFlows!$A:$A,$R$1,PrefFlows!$B:$B,$B121)+$AB121))+$AE121*(1-(SUMIFS(PrefFlows!$C:$C,PrefFlows!$A:$A,$S$1,PrefFlows!$B:$B,$B121)+$AB121))+$AF121*(1-(SUMIFS(PrefFlows!$C:$C,PrefFlows!$A:$A,$T$1,PrefFlows!$B:$B,$B121)+$AB121)),2)</f>
        <v>2.29</v>
      </c>
      <c r="AI121" s="10">
        <f t="shared" si="41"/>
        <v>62.44</v>
      </c>
      <c r="AJ121" s="7">
        <f t="shared" si="42"/>
        <v>33.57</v>
      </c>
      <c r="AK121" s="10">
        <f t="shared" si="43"/>
        <v>65.03</v>
      </c>
      <c r="AL121" s="7">
        <f t="shared" si="43"/>
        <v>34.97</v>
      </c>
      <c r="AM121" s="1">
        <f t="shared" si="48"/>
        <v>14.4</v>
      </c>
      <c r="AN121" s="1">
        <f t="shared" si="49"/>
        <v>15.09</v>
      </c>
      <c r="AO121" s="7">
        <f t="shared" si="50"/>
        <v>15.03</v>
      </c>
      <c r="AP121" s="1" t="b">
        <f t="shared" si="44"/>
        <v>0</v>
      </c>
      <c r="AQ121" s="1" t="b">
        <f t="shared" si="44"/>
        <v>0</v>
      </c>
      <c r="AR121" s="7" t="b">
        <f t="shared" si="45"/>
        <v>0</v>
      </c>
      <c r="AS121" s="1">
        <f t="shared" si="46"/>
        <v>0.6899999999999995</v>
      </c>
      <c r="AT121" s="1">
        <f t="shared" si="46"/>
        <v>0.62999999999999901</v>
      </c>
      <c r="AU121" s="7">
        <f t="shared" si="47"/>
        <v>6.0000000000000497E-2</v>
      </c>
      <c r="AV121" s="1">
        <f>ROUND(IF(B121="NSW",N121*Meta!$B$6,N121),1)</f>
        <v>2077.6999999999998</v>
      </c>
      <c r="AW121" s="7">
        <f t="shared" si="51"/>
        <v>74080.600000000006</v>
      </c>
    </row>
    <row r="122" spans="1:49" x14ac:dyDescent="0.55000000000000004">
      <c r="A122" s="11" t="s">
        <v>135</v>
      </c>
      <c r="B122" s="7" t="s">
        <v>13</v>
      </c>
      <c r="C122" s="10">
        <v>41.55</v>
      </c>
      <c r="D122" s="10">
        <v>44.09</v>
      </c>
      <c r="E122" s="10">
        <v>0</v>
      </c>
      <c r="F122" s="10">
        <v>1.06</v>
      </c>
      <c r="G122" s="10">
        <v>1.1499999999999999</v>
      </c>
      <c r="H122" s="10">
        <v>5.3</v>
      </c>
      <c r="I122" s="10">
        <v>8</v>
      </c>
      <c r="J122" s="7">
        <f t="shared" si="30"/>
        <v>7.91</v>
      </c>
      <c r="K122" s="10">
        <v>49.23</v>
      </c>
      <c r="L122" s="7">
        <v>50.77</v>
      </c>
      <c r="M122" s="10">
        <v>82005</v>
      </c>
      <c r="N122" s="10">
        <v>6996</v>
      </c>
      <c r="O122" s="7">
        <f t="shared" si="31"/>
        <v>75009</v>
      </c>
      <c r="P122" s="10">
        <f>ROUND($C122+MIN($D122:$E122)*(1-SUMIFS(PrefFlows!$C:$C,PrefFlows!$A:$A,INDEX($D$1:$E$1,MATCH(MIN($D122:$E122),$D122:$E122,0)),PrefFlows!$B:$B,$B122)),2)</f>
        <v>41.55</v>
      </c>
      <c r="Q122" s="10">
        <f>ROUND(MAX($D122:$E122)+MIN($D122:$E122)*SUMIFS(PrefFlows!$C:$C,PrefFlows!$A:$A,INDEX($D$1:$E$1,MATCH(MIN($D122:$E122),$D122:$E122,0)),PrefFlows!$B:$B,$B122),2)</f>
        <v>44.09</v>
      </c>
      <c r="R122" s="10">
        <f t="shared" si="32"/>
        <v>1.1499999999999999</v>
      </c>
      <c r="S122" s="10">
        <f t="shared" si="33"/>
        <v>5.3</v>
      </c>
      <c r="T122" s="7">
        <f t="shared" si="34"/>
        <v>7.91</v>
      </c>
      <c r="U122" s="9">
        <f t="shared" si="35"/>
        <v>2.54</v>
      </c>
      <c r="V122" s="10">
        <f>ROUND($R122*SUMIFS(PrefFlows!$C:$C,PrefFlows!$A:$A,$R$1,PrefFlows!$B:$B,$B122)+$S122*SUMIFS(PrefFlows!$C:$C,PrefFlows!$A:$A,$S$1,PrefFlows!$B:$B,$B122)+$T122*SUMIFS(PrefFlows!$C:$C,PrefFlows!$A:$A,$T$1,PrefFlows!$B:$B,$B122),2)</f>
        <v>5.71</v>
      </c>
      <c r="W122" s="7">
        <f>ROUND($R122*(1-SUMIFS(PrefFlows!$C:$C,PrefFlows!$A:$A,$R$1,PrefFlows!$B:$B,$B122))+$S122*(1-SUMIFS(PrefFlows!$C:$C,PrefFlows!$A:$A,$S$1,PrefFlows!$B:$B,$B122))+$T122*(1-SUMIFS(PrefFlows!$C:$C,PrefFlows!$A:$A,$T$1,PrefFlows!$B:$B,$B122)),2)</f>
        <v>8.65</v>
      </c>
      <c r="X122" s="10">
        <f t="shared" si="36"/>
        <v>5.14</v>
      </c>
      <c r="Y122" s="7">
        <f t="shared" si="37"/>
        <v>9.2200000000000006</v>
      </c>
      <c r="Z122" s="10">
        <f t="shared" si="38"/>
        <v>0.39760000000000001</v>
      </c>
      <c r="AA122" s="10">
        <f t="shared" si="39"/>
        <v>0.3579</v>
      </c>
      <c r="AB122" s="10">
        <f t="shared" si="40"/>
        <v>-3.9699999999999999E-2</v>
      </c>
      <c r="AC122" s="7">
        <v>6.6496351116666505E-2</v>
      </c>
      <c r="AD122" s="10">
        <f>ROUND(R122*(1-(Exhaust!$B$2+AC122)),2)</f>
        <v>0.43</v>
      </c>
      <c r="AE122" s="10">
        <f>ROUND(S122*(1-(Exhaust!$B$3+$AC122)),2)</f>
        <v>2.83</v>
      </c>
      <c r="AF122" s="7">
        <f>ROUND(T122*(1-(Exhaust!$B$4+$AC122)),2)</f>
        <v>3.43</v>
      </c>
      <c r="AG122" s="10">
        <f>ROUND($AD122*(SUMIFS(PrefFlows!$C:$C,PrefFlows!$A:$A,$R$1,PrefFlows!$B:$B,$B122)+$AB122)+$AE122*(SUMIFS(PrefFlows!$C:$C,PrefFlows!$A:$A,$S$1,PrefFlows!$B:$B,$B122)+$AB122)+$AF122*(SUMIFS(PrefFlows!$C:$C,PrefFlows!$A:$A,$T$1,PrefFlows!$B:$B,$B122)+$AB122),2)</f>
        <v>2.27</v>
      </c>
      <c r="AH122" s="7">
        <f>ROUND($AD122*(1-(SUMIFS(PrefFlows!$C:$C,PrefFlows!$A:$A,$R$1,PrefFlows!$B:$B,$B122)+$AB122))+$AE122*(1-(SUMIFS(PrefFlows!$C:$C,PrefFlows!$A:$A,$S$1,PrefFlows!$B:$B,$B122)+$AB122))+$AF122*(1-(SUMIFS(PrefFlows!$C:$C,PrefFlows!$A:$A,$T$1,PrefFlows!$B:$B,$B122)+$AB122)),2)</f>
        <v>4.42</v>
      </c>
      <c r="AI122" s="10">
        <f t="shared" si="41"/>
        <v>46.36</v>
      </c>
      <c r="AJ122" s="7">
        <f t="shared" si="42"/>
        <v>45.97</v>
      </c>
      <c r="AK122" s="10">
        <f t="shared" si="43"/>
        <v>50.21</v>
      </c>
      <c r="AL122" s="7">
        <f t="shared" si="43"/>
        <v>49.79</v>
      </c>
      <c r="AM122" s="1">
        <f t="shared" si="48"/>
        <v>-0.77</v>
      </c>
      <c r="AN122" s="1">
        <f t="shared" si="49"/>
        <v>0.22</v>
      </c>
      <c r="AO122" s="7">
        <f t="shared" si="50"/>
        <v>0.21</v>
      </c>
      <c r="AP122" s="1" t="b">
        <f t="shared" si="44"/>
        <v>1</v>
      </c>
      <c r="AQ122" s="1" t="b">
        <f t="shared" si="44"/>
        <v>1</v>
      </c>
      <c r="AR122" s="7" t="b">
        <f t="shared" si="45"/>
        <v>0</v>
      </c>
      <c r="AS122" s="1">
        <f t="shared" si="46"/>
        <v>0.99</v>
      </c>
      <c r="AT122" s="1">
        <f t="shared" si="46"/>
        <v>0.98</v>
      </c>
      <c r="AU122" s="7">
        <f t="shared" si="47"/>
        <v>1.0000000000000009E-2</v>
      </c>
      <c r="AV122" s="1">
        <f>ROUND(IF(B122="NSW",N122*Meta!$B$6,N122),1)</f>
        <v>4687.3</v>
      </c>
      <c r="AW122" s="7">
        <f t="shared" si="51"/>
        <v>73055.899999999994</v>
      </c>
    </row>
    <row r="123" spans="1:49" x14ac:dyDescent="0.55000000000000004">
      <c r="A123" s="11" t="s">
        <v>136</v>
      </c>
      <c r="B123" s="7" t="s">
        <v>13</v>
      </c>
      <c r="C123" s="10">
        <v>36.049999999999997</v>
      </c>
      <c r="D123" s="10">
        <v>51.99</v>
      </c>
      <c r="E123" s="10">
        <v>0</v>
      </c>
      <c r="F123" s="10">
        <v>0.73</v>
      </c>
      <c r="G123" s="10">
        <v>1.78</v>
      </c>
      <c r="H123" s="10">
        <v>4.16</v>
      </c>
      <c r="I123" s="10">
        <v>7.07</v>
      </c>
      <c r="J123" s="7">
        <f t="shared" si="30"/>
        <v>6.02</v>
      </c>
      <c r="K123" s="10">
        <v>56.97</v>
      </c>
      <c r="L123" s="7">
        <v>43.03</v>
      </c>
      <c r="M123" s="10">
        <v>84603</v>
      </c>
      <c r="N123" s="10">
        <v>5183</v>
      </c>
      <c r="O123" s="7">
        <f t="shared" si="31"/>
        <v>79420</v>
      </c>
      <c r="P123" s="10">
        <f>ROUND($C123+MIN($D123:$E123)*(1-SUMIFS(PrefFlows!$C:$C,PrefFlows!$A:$A,INDEX($D$1:$E$1,MATCH(MIN($D123:$E123),$D123:$E123,0)),PrefFlows!$B:$B,$B123)),2)</f>
        <v>36.049999999999997</v>
      </c>
      <c r="Q123" s="10">
        <f>ROUND(MAX($D123:$E123)+MIN($D123:$E123)*SUMIFS(PrefFlows!$C:$C,PrefFlows!$A:$A,INDEX($D$1:$E$1,MATCH(MIN($D123:$E123),$D123:$E123,0)),PrefFlows!$B:$B,$B123),2)</f>
        <v>51.99</v>
      </c>
      <c r="R123" s="10">
        <f t="shared" si="32"/>
        <v>1.78</v>
      </c>
      <c r="S123" s="10">
        <f t="shared" si="33"/>
        <v>4.16</v>
      </c>
      <c r="T123" s="7">
        <f t="shared" si="34"/>
        <v>6.02</v>
      </c>
      <c r="U123" s="9">
        <f t="shared" si="35"/>
        <v>15.94</v>
      </c>
      <c r="V123" s="10">
        <f>ROUND($R123*SUMIFS(PrefFlows!$C:$C,PrefFlows!$A:$A,$R$1,PrefFlows!$B:$B,$B123)+$S123*SUMIFS(PrefFlows!$C:$C,PrefFlows!$A:$A,$S$1,PrefFlows!$B:$B,$B123)+$T123*SUMIFS(PrefFlows!$C:$C,PrefFlows!$A:$A,$T$1,PrefFlows!$B:$B,$B123),2)</f>
        <v>4.8499999999999996</v>
      </c>
      <c r="W123" s="7">
        <f>ROUND($R123*(1-SUMIFS(PrefFlows!$C:$C,PrefFlows!$A:$A,$R$1,PrefFlows!$B:$B,$B123))+$S123*(1-SUMIFS(PrefFlows!$C:$C,PrefFlows!$A:$A,$S$1,PrefFlows!$B:$B,$B123))+$T123*(1-SUMIFS(PrefFlows!$C:$C,PrefFlows!$A:$A,$T$1,PrefFlows!$B:$B,$B123)),2)</f>
        <v>7.11</v>
      </c>
      <c r="X123" s="10">
        <f t="shared" si="36"/>
        <v>4.9800000000000004</v>
      </c>
      <c r="Y123" s="7">
        <f t="shared" si="37"/>
        <v>6.98</v>
      </c>
      <c r="Z123" s="10">
        <f t="shared" si="38"/>
        <v>0.40550000000000003</v>
      </c>
      <c r="AA123" s="10">
        <f t="shared" si="39"/>
        <v>0.41639999999999999</v>
      </c>
      <c r="AB123" s="10">
        <f t="shared" si="40"/>
        <v>1.09E-2</v>
      </c>
      <c r="AC123" s="7">
        <v>7.5262703898476793E-2</v>
      </c>
      <c r="AD123" s="10">
        <f>ROUND(R123*(1-(Exhaust!$B$2+AC123)),2)</f>
        <v>0.65</v>
      </c>
      <c r="AE123" s="10">
        <f>ROUND(S123*(1-(Exhaust!$B$3+$AC123)),2)</f>
        <v>2.1800000000000002</v>
      </c>
      <c r="AF123" s="7">
        <f>ROUND(T123*(1-(Exhaust!$B$4+$AC123)),2)</f>
        <v>2.56</v>
      </c>
      <c r="AG123" s="10">
        <f>ROUND($AD123*(SUMIFS(PrefFlows!$C:$C,PrefFlows!$A:$A,$R$1,PrefFlows!$B:$B,$B123)+$AB123)+$AE123*(SUMIFS(PrefFlows!$C:$C,PrefFlows!$A:$A,$S$1,PrefFlows!$B:$B,$B123)+$AB123)+$AF123*(SUMIFS(PrefFlows!$C:$C,PrefFlows!$A:$A,$T$1,PrefFlows!$B:$B,$B123)+$AB123),2)</f>
        <v>2.14</v>
      </c>
      <c r="AH123" s="7">
        <f>ROUND($AD123*(1-(SUMIFS(PrefFlows!$C:$C,PrefFlows!$A:$A,$R$1,PrefFlows!$B:$B,$B123)+$AB123))+$AE123*(1-(SUMIFS(PrefFlows!$C:$C,PrefFlows!$A:$A,$S$1,PrefFlows!$B:$B,$B123)+$AB123))+$AF123*(1-(SUMIFS(PrefFlows!$C:$C,PrefFlows!$A:$A,$T$1,PrefFlows!$B:$B,$B123)+$AB123)),2)</f>
        <v>3.25</v>
      </c>
      <c r="AI123" s="10">
        <f t="shared" si="41"/>
        <v>54.13</v>
      </c>
      <c r="AJ123" s="7">
        <f t="shared" si="42"/>
        <v>39.299999999999997</v>
      </c>
      <c r="AK123" s="10">
        <f t="shared" si="43"/>
        <v>57.94</v>
      </c>
      <c r="AL123" s="7">
        <f t="shared" si="43"/>
        <v>42.06</v>
      </c>
      <c r="AM123" s="1">
        <f t="shared" si="48"/>
        <v>6.97</v>
      </c>
      <c r="AN123" s="1">
        <f t="shared" si="49"/>
        <v>7.9</v>
      </c>
      <c r="AO123" s="7">
        <f t="shared" si="50"/>
        <v>7.94</v>
      </c>
      <c r="AP123" s="1" t="b">
        <f t="shared" si="44"/>
        <v>0</v>
      </c>
      <c r="AQ123" s="1" t="b">
        <f t="shared" si="44"/>
        <v>0</v>
      </c>
      <c r="AR123" s="7" t="b">
        <f t="shared" si="45"/>
        <v>0</v>
      </c>
      <c r="AS123" s="1">
        <f t="shared" si="46"/>
        <v>0.9300000000000006</v>
      </c>
      <c r="AT123" s="1">
        <f t="shared" si="46"/>
        <v>0.97000000000000064</v>
      </c>
      <c r="AU123" s="7">
        <f t="shared" si="47"/>
        <v>4.0000000000000036E-2</v>
      </c>
      <c r="AV123" s="1">
        <f>ROUND(IF(B123="NSW",N123*Meta!$B$6,N123),1)</f>
        <v>3472.6</v>
      </c>
      <c r="AW123" s="7">
        <f t="shared" si="51"/>
        <v>77050.899999999994</v>
      </c>
    </row>
    <row r="124" spans="1:49" x14ac:dyDescent="0.55000000000000004">
      <c r="A124" s="11" t="s">
        <v>137</v>
      </c>
      <c r="B124" s="7" t="s">
        <v>31</v>
      </c>
      <c r="C124" s="10">
        <v>28.05</v>
      </c>
      <c r="D124" s="10">
        <v>53.72</v>
      </c>
      <c r="E124" s="10">
        <v>0</v>
      </c>
      <c r="F124" s="10">
        <v>1.54</v>
      </c>
      <c r="G124" s="10">
        <v>3.74</v>
      </c>
      <c r="H124" s="10">
        <v>7.85</v>
      </c>
      <c r="I124" s="10">
        <v>8.84</v>
      </c>
      <c r="J124" s="7">
        <f t="shared" si="30"/>
        <v>6.64</v>
      </c>
      <c r="K124" s="10">
        <v>62.94</v>
      </c>
      <c r="L124" s="7">
        <v>37.06</v>
      </c>
      <c r="M124" s="10">
        <v>79224</v>
      </c>
      <c r="N124" s="10">
        <v>4201</v>
      </c>
      <c r="O124" s="7">
        <f t="shared" si="31"/>
        <v>75023</v>
      </c>
      <c r="P124" s="10">
        <f>ROUND($C124+MIN($D124:$E124)*(1-SUMIFS(PrefFlows!$C:$C,PrefFlows!$A:$A,INDEX($D$1:$E$1,MATCH(MIN($D124:$E124),$D124:$E124,0)),PrefFlows!$B:$B,$B124)),2)</f>
        <v>28.05</v>
      </c>
      <c r="Q124" s="10">
        <f>ROUND(MAX($D124:$E124)+MIN($D124:$E124)*SUMIFS(PrefFlows!$C:$C,PrefFlows!$A:$A,INDEX($D$1:$E$1,MATCH(MIN($D124:$E124),$D124:$E124,0)),PrefFlows!$B:$B,$B124),2)</f>
        <v>53.72</v>
      </c>
      <c r="R124" s="10">
        <f t="shared" si="32"/>
        <v>3.74</v>
      </c>
      <c r="S124" s="10">
        <f t="shared" si="33"/>
        <v>7.85</v>
      </c>
      <c r="T124" s="7">
        <f t="shared" si="34"/>
        <v>6.64</v>
      </c>
      <c r="U124" s="9">
        <f t="shared" si="35"/>
        <v>25.67</v>
      </c>
      <c r="V124" s="10">
        <f>ROUND($R124*SUMIFS(PrefFlows!$C:$C,PrefFlows!$A:$A,$R$1,PrefFlows!$B:$B,$B124)+$S124*SUMIFS(PrefFlows!$C:$C,PrefFlows!$A:$A,$S$1,PrefFlows!$B:$B,$B124)+$T124*SUMIFS(PrefFlows!$C:$C,PrefFlows!$A:$A,$T$1,PrefFlows!$B:$B,$B124),2)</f>
        <v>7.35</v>
      </c>
      <c r="W124" s="7">
        <f>ROUND($R124*(1-SUMIFS(PrefFlows!$C:$C,PrefFlows!$A:$A,$R$1,PrefFlows!$B:$B,$B124))+$S124*(1-SUMIFS(PrefFlows!$C:$C,PrefFlows!$A:$A,$S$1,PrefFlows!$B:$B,$B124))+$T124*(1-SUMIFS(PrefFlows!$C:$C,PrefFlows!$A:$A,$T$1,PrefFlows!$B:$B,$B124)),2)</f>
        <v>10.88</v>
      </c>
      <c r="X124" s="10">
        <f t="shared" si="36"/>
        <v>9.2200000000000006</v>
      </c>
      <c r="Y124" s="7">
        <f t="shared" si="37"/>
        <v>9.01</v>
      </c>
      <c r="Z124" s="10">
        <f t="shared" si="38"/>
        <v>0.4032</v>
      </c>
      <c r="AA124" s="10">
        <f t="shared" si="39"/>
        <v>0.50580000000000003</v>
      </c>
      <c r="AB124" s="10">
        <f t="shared" si="40"/>
        <v>0.1026</v>
      </c>
      <c r="AC124" s="7">
        <v>3.5210916367644E-2</v>
      </c>
      <c r="AD124" s="10">
        <f>ROUND(R124*(1-(Exhaust!$B$2+AC124)),2)</f>
        <v>1.51</v>
      </c>
      <c r="AE124" s="10">
        <f>ROUND(S124*(1-(Exhaust!$B$3+$AC124)),2)</f>
        <v>4.43</v>
      </c>
      <c r="AF124" s="7">
        <f>ROUND(T124*(1-(Exhaust!$B$4+$AC124)),2)</f>
        <v>3.09</v>
      </c>
      <c r="AG124" s="10">
        <f>ROUND($AD124*(SUMIFS(PrefFlows!$C:$C,PrefFlows!$A:$A,$R$1,PrefFlows!$B:$B,$B124)+$AB124)+$AE124*(SUMIFS(PrefFlows!$C:$C,PrefFlows!$A:$A,$S$1,PrefFlows!$B:$B,$B124)+$AB124)+$AF124*(SUMIFS(PrefFlows!$C:$C,PrefFlows!$A:$A,$T$1,PrefFlows!$B:$B,$B124)+$AB124),2)</f>
        <v>4.3899999999999997</v>
      </c>
      <c r="AH124" s="7">
        <f>ROUND($AD124*(1-(SUMIFS(PrefFlows!$C:$C,PrefFlows!$A:$A,$R$1,PrefFlows!$B:$B,$B124)+$AB124))+$AE124*(1-(SUMIFS(PrefFlows!$C:$C,PrefFlows!$A:$A,$S$1,PrefFlows!$B:$B,$B124)+$AB124))+$AF124*(1-(SUMIFS(PrefFlows!$C:$C,PrefFlows!$A:$A,$T$1,PrefFlows!$B:$B,$B124)+$AB124)),2)</f>
        <v>4.6399999999999997</v>
      </c>
      <c r="AI124" s="10">
        <f t="shared" si="41"/>
        <v>58.11</v>
      </c>
      <c r="AJ124" s="7">
        <f t="shared" si="42"/>
        <v>32.69</v>
      </c>
      <c r="AK124" s="10">
        <f t="shared" si="43"/>
        <v>64</v>
      </c>
      <c r="AL124" s="7">
        <f t="shared" si="43"/>
        <v>36</v>
      </c>
      <c r="AM124" s="1">
        <f t="shared" si="48"/>
        <v>12.94</v>
      </c>
      <c r="AN124" s="1">
        <f t="shared" si="49"/>
        <v>14.13</v>
      </c>
      <c r="AO124" s="7">
        <f t="shared" si="50"/>
        <v>14</v>
      </c>
      <c r="AP124" s="1" t="b">
        <f t="shared" si="44"/>
        <v>0</v>
      </c>
      <c r="AQ124" s="1" t="b">
        <f t="shared" si="44"/>
        <v>0</v>
      </c>
      <c r="AR124" s="7" t="b">
        <f t="shared" si="45"/>
        <v>0</v>
      </c>
      <c r="AS124" s="1">
        <f t="shared" si="46"/>
        <v>1.1900000000000013</v>
      </c>
      <c r="AT124" s="1">
        <f t="shared" si="46"/>
        <v>1.0600000000000005</v>
      </c>
      <c r="AU124" s="7">
        <f t="shared" si="47"/>
        <v>0.13000000000000078</v>
      </c>
      <c r="AV124" s="1">
        <f>ROUND(IF(B124="NSW",N124*Meta!$B$6,N124),1)</f>
        <v>4201</v>
      </c>
      <c r="AW124" s="7">
        <f t="shared" si="51"/>
        <v>69591.399999999994</v>
      </c>
    </row>
    <row r="125" spans="1:49" x14ac:dyDescent="0.55000000000000004">
      <c r="A125" s="11" t="s">
        <v>138</v>
      </c>
      <c r="B125" s="7" t="s">
        <v>31</v>
      </c>
      <c r="C125" s="10">
        <v>45.59</v>
      </c>
      <c r="D125" s="10">
        <v>36.880000000000003</v>
      </c>
      <c r="E125" s="10">
        <v>0</v>
      </c>
      <c r="F125" s="10">
        <v>1.83</v>
      </c>
      <c r="G125" s="10">
        <v>1.99</v>
      </c>
      <c r="H125" s="10">
        <v>9.58</v>
      </c>
      <c r="I125" s="10">
        <v>6.12</v>
      </c>
      <c r="J125" s="7">
        <f t="shared" si="30"/>
        <v>5.96</v>
      </c>
      <c r="K125" s="10">
        <v>43.27</v>
      </c>
      <c r="L125" s="7">
        <v>56.73</v>
      </c>
      <c r="M125" s="10">
        <v>78229</v>
      </c>
      <c r="N125" s="10">
        <v>4680</v>
      </c>
      <c r="O125" s="7">
        <f t="shared" si="31"/>
        <v>73549</v>
      </c>
      <c r="P125" s="10">
        <f>ROUND($C125+MIN($D125:$E125)*(1-SUMIFS(PrefFlows!$C:$C,PrefFlows!$A:$A,INDEX($D$1:$E$1,MATCH(MIN($D125:$E125),$D125:$E125,0)),PrefFlows!$B:$B,$B125)),2)</f>
        <v>45.59</v>
      </c>
      <c r="Q125" s="10">
        <f>ROUND(MAX($D125:$E125)+MIN($D125:$E125)*SUMIFS(PrefFlows!$C:$C,PrefFlows!$A:$A,INDEX($D$1:$E$1,MATCH(MIN($D125:$E125),$D125:$E125,0)),PrefFlows!$B:$B,$B125),2)</f>
        <v>36.880000000000003</v>
      </c>
      <c r="R125" s="10">
        <f t="shared" si="32"/>
        <v>1.99</v>
      </c>
      <c r="S125" s="10">
        <f t="shared" si="33"/>
        <v>9.58</v>
      </c>
      <c r="T125" s="7">
        <f t="shared" si="34"/>
        <v>5.96</v>
      </c>
      <c r="U125" s="9">
        <f t="shared" si="35"/>
        <v>-8.7100000000000009</v>
      </c>
      <c r="V125" s="10">
        <f>ROUND($R125*SUMIFS(PrefFlows!$C:$C,PrefFlows!$A:$A,$R$1,PrefFlows!$B:$B,$B125)+$S125*SUMIFS(PrefFlows!$C:$C,PrefFlows!$A:$A,$S$1,PrefFlows!$B:$B,$B125)+$T125*SUMIFS(PrefFlows!$C:$C,PrefFlows!$A:$A,$T$1,PrefFlows!$B:$B,$B125),2)</f>
        <v>6.39</v>
      </c>
      <c r="W125" s="7">
        <f>ROUND($R125*(1-SUMIFS(PrefFlows!$C:$C,PrefFlows!$A:$A,$R$1,PrefFlows!$B:$B,$B125))+$S125*(1-SUMIFS(PrefFlows!$C:$C,PrefFlows!$A:$A,$S$1,PrefFlows!$B:$B,$B125))+$T125*(1-SUMIFS(PrefFlows!$C:$C,PrefFlows!$A:$A,$T$1,PrefFlows!$B:$B,$B125)),2)</f>
        <v>11.14</v>
      </c>
      <c r="X125" s="10">
        <f t="shared" si="36"/>
        <v>6.39</v>
      </c>
      <c r="Y125" s="7">
        <f t="shared" si="37"/>
        <v>11.14</v>
      </c>
      <c r="Z125" s="10">
        <f t="shared" si="38"/>
        <v>0.36449999999999999</v>
      </c>
      <c r="AA125" s="10">
        <f t="shared" si="39"/>
        <v>0.36449999999999999</v>
      </c>
      <c r="AB125" s="10">
        <f t="shared" si="40"/>
        <v>0</v>
      </c>
      <c r="AC125" s="7">
        <v>-1.91849384821485E-2</v>
      </c>
      <c r="AD125" s="10">
        <f>ROUND(R125*(1-(Exhaust!$B$2+AC125)),2)</f>
        <v>0.91</v>
      </c>
      <c r="AE125" s="10">
        <f>ROUND(S125*(1-(Exhaust!$B$3+$AC125)),2)</f>
        <v>5.93</v>
      </c>
      <c r="AF125" s="7">
        <f>ROUND(T125*(1-(Exhaust!$B$4+$AC125)),2)</f>
        <v>3.09</v>
      </c>
      <c r="AG125" s="10">
        <f>ROUND($AD125*(SUMIFS(PrefFlows!$C:$C,PrefFlows!$A:$A,$R$1,PrefFlows!$B:$B,$B125)+$AB125)+$AE125*(SUMIFS(PrefFlows!$C:$C,PrefFlows!$A:$A,$S$1,PrefFlows!$B:$B,$B125)+$AB125)+$AF125*(SUMIFS(PrefFlows!$C:$C,PrefFlows!$A:$A,$T$1,PrefFlows!$B:$B,$B125)+$AB125),2)</f>
        <v>3.46</v>
      </c>
      <c r="AH125" s="7">
        <f>ROUND($AD125*(1-(SUMIFS(PrefFlows!$C:$C,PrefFlows!$A:$A,$R$1,PrefFlows!$B:$B,$B125)+$AB125))+$AE125*(1-(SUMIFS(PrefFlows!$C:$C,PrefFlows!$A:$A,$S$1,PrefFlows!$B:$B,$B125)+$AB125))+$AF125*(1-(SUMIFS(PrefFlows!$C:$C,PrefFlows!$A:$A,$T$1,PrefFlows!$B:$B,$B125)+$AB125)),2)</f>
        <v>6.47</v>
      </c>
      <c r="AI125" s="10">
        <f t="shared" si="41"/>
        <v>40.340000000000003</v>
      </c>
      <c r="AJ125" s="7">
        <f t="shared" si="42"/>
        <v>52.06</v>
      </c>
      <c r="AK125" s="10">
        <f t="shared" si="43"/>
        <v>43.66</v>
      </c>
      <c r="AL125" s="7">
        <f t="shared" si="43"/>
        <v>56.34</v>
      </c>
      <c r="AM125" s="1">
        <f t="shared" si="48"/>
        <v>-6.73</v>
      </c>
      <c r="AN125" s="1">
        <f t="shared" si="49"/>
        <v>-6.1</v>
      </c>
      <c r="AO125" s="7">
        <f t="shared" si="50"/>
        <v>-6.34</v>
      </c>
      <c r="AP125" s="1" t="b">
        <f t="shared" si="44"/>
        <v>0</v>
      </c>
      <c r="AQ125" s="1" t="b">
        <f t="shared" si="44"/>
        <v>0</v>
      </c>
      <c r="AR125" s="7" t="b">
        <f t="shared" si="45"/>
        <v>0</v>
      </c>
      <c r="AS125" s="1">
        <f t="shared" si="46"/>
        <v>0.63000000000000078</v>
      </c>
      <c r="AT125" s="1">
        <f t="shared" si="46"/>
        <v>0.39000000000000057</v>
      </c>
      <c r="AU125" s="7">
        <f t="shared" si="47"/>
        <v>0.24000000000000021</v>
      </c>
      <c r="AV125" s="1">
        <f>ROUND(IF(B125="NSW",N125*Meta!$B$6,N125),1)</f>
        <v>4680</v>
      </c>
      <c r="AW125" s="7">
        <f t="shared" si="51"/>
        <v>69626.399999999994</v>
      </c>
    </row>
    <row r="126" spans="1:49" x14ac:dyDescent="0.55000000000000004">
      <c r="A126" s="11" t="s">
        <v>139</v>
      </c>
      <c r="B126" s="7" t="s">
        <v>23</v>
      </c>
      <c r="C126" s="10">
        <v>37.159999999999997</v>
      </c>
      <c r="D126" s="10">
        <v>52.73</v>
      </c>
      <c r="E126" s="10">
        <v>0</v>
      </c>
      <c r="F126" s="10">
        <v>1.76</v>
      </c>
      <c r="G126" s="10">
        <v>0</v>
      </c>
      <c r="H126" s="10">
        <v>4.62</v>
      </c>
      <c r="I126" s="10">
        <v>3.73</v>
      </c>
      <c r="J126" s="7">
        <f t="shared" si="30"/>
        <v>5.49</v>
      </c>
      <c r="K126" s="10">
        <v>57.92</v>
      </c>
      <c r="L126" s="7">
        <v>42.08</v>
      </c>
      <c r="M126" s="10">
        <v>82965</v>
      </c>
      <c r="N126" s="10">
        <v>3338</v>
      </c>
      <c r="O126" s="7">
        <f t="shared" si="31"/>
        <v>79627</v>
      </c>
      <c r="P126" s="10">
        <f>ROUND($C126+MIN($D126:$E126)*(1-SUMIFS(PrefFlows!$C:$C,PrefFlows!$A:$A,INDEX($D$1:$E$1,MATCH(MIN($D126:$E126),$D126:$E126,0)),PrefFlows!$B:$B,$B126)),2)</f>
        <v>37.159999999999997</v>
      </c>
      <c r="Q126" s="10">
        <f>ROUND(MAX($D126:$E126)+MIN($D126:$E126)*SUMIFS(PrefFlows!$C:$C,PrefFlows!$A:$A,INDEX($D$1:$E$1,MATCH(MIN($D126:$E126),$D126:$E126,0)),PrefFlows!$B:$B,$B126),2)</f>
        <v>52.73</v>
      </c>
      <c r="R126" s="10">
        <f t="shared" si="32"/>
        <v>0</v>
      </c>
      <c r="S126" s="10">
        <f t="shared" si="33"/>
        <v>4.62</v>
      </c>
      <c r="T126" s="7">
        <f t="shared" si="34"/>
        <v>5.49</v>
      </c>
      <c r="U126" s="9">
        <f t="shared" si="35"/>
        <v>15.57</v>
      </c>
      <c r="V126" s="10">
        <f>ROUND($R126*SUMIFS(PrefFlows!$C:$C,PrefFlows!$A:$A,$R$1,PrefFlows!$B:$B,$B126)+$S126*SUMIFS(PrefFlows!$C:$C,PrefFlows!$A:$A,$S$1,PrefFlows!$B:$B,$B126)+$T126*SUMIFS(PrefFlows!$C:$C,PrefFlows!$A:$A,$T$1,PrefFlows!$B:$B,$B126),2)</f>
        <v>3.95</v>
      </c>
      <c r="W126" s="7">
        <f>ROUND($R126*(1-SUMIFS(PrefFlows!$C:$C,PrefFlows!$A:$A,$R$1,PrefFlows!$B:$B,$B126))+$S126*(1-SUMIFS(PrefFlows!$C:$C,PrefFlows!$A:$A,$S$1,PrefFlows!$B:$B,$B126))+$T126*(1-SUMIFS(PrefFlows!$C:$C,PrefFlows!$A:$A,$T$1,PrefFlows!$B:$B,$B126)),2)</f>
        <v>6.16</v>
      </c>
      <c r="X126" s="10">
        <f t="shared" si="36"/>
        <v>5.19</v>
      </c>
      <c r="Y126" s="7">
        <f t="shared" si="37"/>
        <v>4.92</v>
      </c>
      <c r="Z126" s="10">
        <f t="shared" si="38"/>
        <v>0.39069999999999999</v>
      </c>
      <c r="AA126" s="10">
        <f t="shared" si="39"/>
        <v>0.51339999999999997</v>
      </c>
      <c r="AB126" s="10">
        <f t="shared" si="40"/>
        <v>0.1227</v>
      </c>
      <c r="AC126" s="7">
        <v>1.5921635231920701E-2</v>
      </c>
      <c r="AD126" s="10">
        <f>ROUND(R126*(1-(Exhaust!$B$2+AC126)),2)</f>
        <v>0</v>
      </c>
      <c r="AE126" s="10">
        <f>ROUND(S126*(1-(Exhaust!$B$3+$AC126)),2)</f>
        <v>2.7</v>
      </c>
      <c r="AF126" s="7">
        <f>ROUND(T126*(1-(Exhaust!$B$4+$AC126)),2)</f>
        <v>2.66</v>
      </c>
      <c r="AG126" s="10">
        <f>ROUND($AD126*(SUMIFS(PrefFlows!$C:$C,PrefFlows!$A:$A,$R$1,PrefFlows!$B:$B,$B126)+$AB126)+$AE126*(SUMIFS(PrefFlows!$C:$C,PrefFlows!$A:$A,$S$1,PrefFlows!$B:$B,$B126)+$AB126)+$AF126*(SUMIFS(PrefFlows!$C:$C,PrefFlows!$A:$A,$T$1,PrefFlows!$B:$B,$B126)+$AB126),2)</f>
        <v>2.69</v>
      </c>
      <c r="AH126" s="7">
        <f>ROUND($AD126*(1-(SUMIFS(PrefFlows!$C:$C,PrefFlows!$A:$A,$R$1,PrefFlows!$B:$B,$B126)+$AB126))+$AE126*(1-(SUMIFS(PrefFlows!$C:$C,PrefFlows!$A:$A,$S$1,PrefFlows!$B:$B,$B126)+$AB126))+$AF126*(1-(SUMIFS(PrefFlows!$C:$C,PrefFlows!$A:$A,$T$1,PrefFlows!$B:$B,$B126)+$AB126)),2)</f>
        <v>2.67</v>
      </c>
      <c r="AI126" s="10">
        <f t="shared" si="41"/>
        <v>55.42</v>
      </c>
      <c r="AJ126" s="7">
        <f t="shared" si="42"/>
        <v>39.83</v>
      </c>
      <c r="AK126" s="10">
        <f t="shared" si="43"/>
        <v>58.18</v>
      </c>
      <c r="AL126" s="7">
        <f t="shared" si="43"/>
        <v>41.82</v>
      </c>
      <c r="AM126" s="1">
        <f t="shared" si="48"/>
        <v>7.92</v>
      </c>
      <c r="AN126" s="1">
        <f t="shared" si="49"/>
        <v>8.26</v>
      </c>
      <c r="AO126" s="7">
        <f t="shared" si="50"/>
        <v>8.18</v>
      </c>
      <c r="AP126" s="1" t="b">
        <f t="shared" si="44"/>
        <v>0</v>
      </c>
      <c r="AQ126" s="1" t="b">
        <f t="shared" si="44"/>
        <v>0</v>
      </c>
      <c r="AR126" s="7" t="b">
        <f t="shared" si="45"/>
        <v>0</v>
      </c>
      <c r="AS126" s="1">
        <f t="shared" si="46"/>
        <v>0.33999999999999986</v>
      </c>
      <c r="AT126" s="1">
        <f t="shared" si="46"/>
        <v>0.25999999999999979</v>
      </c>
      <c r="AU126" s="7">
        <f t="shared" si="47"/>
        <v>8.0000000000000071E-2</v>
      </c>
      <c r="AV126" s="1">
        <f>ROUND(IF(B126="NSW",N126*Meta!$B$6,N126),1)</f>
        <v>3338</v>
      </c>
      <c r="AW126" s="7">
        <f t="shared" si="51"/>
        <v>77070.399999999994</v>
      </c>
    </row>
    <row r="127" spans="1:49" x14ac:dyDescent="0.55000000000000004">
      <c r="A127" s="11" t="s">
        <v>140</v>
      </c>
      <c r="B127" s="7" t="s">
        <v>8</v>
      </c>
      <c r="C127" s="10">
        <v>54.51</v>
      </c>
      <c r="D127" s="10">
        <v>31.92</v>
      </c>
      <c r="E127" s="10">
        <v>0</v>
      </c>
      <c r="F127" s="10">
        <v>2</v>
      </c>
      <c r="G127" s="10">
        <v>1.39</v>
      </c>
      <c r="H127" s="10">
        <v>5.42</v>
      </c>
      <c r="I127" s="10">
        <v>6.15</v>
      </c>
      <c r="J127" s="7">
        <f t="shared" si="30"/>
        <v>6.76</v>
      </c>
      <c r="K127" s="10">
        <v>37.090000000000003</v>
      </c>
      <c r="L127" s="7">
        <v>62.91</v>
      </c>
      <c r="M127" s="10">
        <v>92179</v>
      </c>
      <c r="N127" s="10">
        <v>6522</v>
      </c>
      <c r="O127" s="7">
        <f t="shared" si="31"/>
        <v>85657</v>
      </c>
      <c r="P127" s="10">
        <f>ROUND($C127+MIN($D127:$E127)*(1-SUMIFS(PrefFlows!$C:$C,PrefFlows!$A:$A,INDEX($D$1:$E$1,MATCH(MIN($D127:$E127),$D127:$E127,0)),PrefFlows!$B:$B,$B127)),2)</f>
        <v>54.51</v>
      </c>
      <c r="Q127" s="10">
        <f>ROUND(MAX($D127:$E127)+MIN($D127:$E127)*SUMIFS(PrefFlows!$C:$C,PrefFlows!$A:$A,INDEX($D$1:$E$1,MATCH(MIN($D127:$E127),$D127:$E127,0)),PrefFlows!$B:$B,$B127),2)</f>
        <v>31.92</v>
      </c>
      <c r="R127" s="10">
        <f t="shared" si="32"/>
        <v>1.39</v>
      </c>
      <c r="S127" s="10">
        <f t="shared" si="33"/>
        <v>5.42</v>
      </c>
      <c r="T127" s="7">
        <f t="shared" si="34"/>
        <v>6.76</v>
      </c>
      <c r="U127" s="9">
        <f t="shared" si="35"/>
        <v>-22.59</v>
      </c>
      <c r="V127" s="10">
        <f>ROUND($R127*SUMIFS(PrefFlows!$C:$C,PrefFlows!$A:$A,$R$1,PrefFlows!$B:$B,$B127)+$S127*SUMIFS(PrefFlows!$C:$C,PrefFlows!$A:$A,$S$1,PrefFlows!$B:$B,$B127)+$T127*SUMIFS(PrefFlows!$C:$C,PrefFlows!$A:$A,$T$1,PrefFlows!$B:$B,$B127),2)</f>
        <v>5.36</v>
      </c>
      <c r="W127" s="7">
        <f>ROUND($R127*(1-SUMIFS(PrefFlows!$C:$C,PrefFlows!$A:$A,$R$1,PrefFlows!$B:$B,$B127))+$S127*(1-SUMIFS(PrefFlows!$C:$C,PrefFlows!$A:$A,$S$1,PrefFlows!$B:$B,$B127))+$T127*(1-SUMIFS(PrefFlows!$C:$C,PrefFlows!$A:$A,$T$1,PrefFlows!$B:$B,$B127)),2)</f>
        <v>8.2100000000000009</v>
      </c>
      <c r="X127" s="10">
        <f t="shared" si="36"/>
        <v>5.17</v>
      </c>
      <c r="Y127" s="7">
        <f t="shared" si="37"/>
        <v>8.4</v>
      </c>
      <c r="Z127" s="10">
        <f t="shared" si="38"/>
        <v>0.39500000000000002</v>
      </c>
      <c r="AA127" s="10">
        <f t="shared" si="39"/>
        <v>0.38100000000000001</v>
      </c>
      <c r="AB127" s="10">
        <f t="shared" si="40"/>
        <v>-1.4E-2</v>
      </c>
      <c r="AC127" s="7">
        <v>3.7840722012046198E-2</v>
      </c>
      <c r="AD127" s="10">
        <f>ROUND(R127*(1-(Exhaust!$B$2+AC127)),2)</f>
        <v>0.56000000000000005</v>
      </c>
      <c r="AE127" s="10">
        <f>ROUND(S127*(1-(Exhaust!$B$3+$AC127)),2)</f>
        <v>3.05</v>
      </c>
      <c r="AF127" s="7">
        <f>ROUND(T127*(1-(Exhaust!$B$4+$AC127)),2)</f>
        <v>3.12</v>
      </c>
      <c r="AG127" s="10">
        <f>ROUND($AD127*(SUMIFS(PrefFlows!$C:$C,PrefFlows!$A:$A,$R$1,PrefFlows!$B:$B,$B127)+$AB127)+$AE127*(SUMIFS(PrefFlows!$C:$C,PrefFlows!$A:$A,$S$1,PrefFlows!$B:$B,$B127)+$AB127)+$AF127*(SUMIFS(PrefFlows!$C:$C,PrefFlows!$A:$A,$T$1,PrefFlows!$B:$B,$B127)+$AB127),2)</f>
        <v>2.4500000000000002</v>
      </c>
      <c r="AH127" s="7">
        <f>ROUND($AD127*(1-(SUMIFS(PrefFlows!$C:$C,PrefFlows!$A:$A,$R$1,PrefFlows!$B:$B,$B127)+$AB127))+$AE127*(1-(SUMIFS(PrefFlows!$C:$C,PrefFlows!$A:$A,$S$1,PrefFlows!$B:$B,$B127)+$AB127))+$AF127*(1-(SUMIFS(PrefFlows!$C:$C,PrefFlows!$A:$A,$T$1,PrefFlows!$B:$B,$B127)+$AB127)),2)</f>
        <v>4.28</v>
      </c>
      <c r="AI127" s="10">
        <f t="shared" si="41"/>
        <v>34.369999999999997</v>
      </c>
      <c r="AJ127" s="7">
        <f t="shared" si="42"/>
        <v>58.79</v>
      </c>
      <c r="AK127" s="10">
        <f t="shared" si="43"/>
        <v>36.89</v>
      </c>
      <c r="AL127" s="7">
        <f t="shared" si="43"/>
        <v>63.11</v>
      </c>
      <c r="AM127" s="1">
        <f t="shared" si="48"/>
        <v>-12.91</v>
      </c>
      <c r="AN127" s="1">
        <f t="shared" si="49"/>
        <v>-12.98</v>
      </c>
      <c r="AO127" s="7">
        <f t="shared" si="50"/>
        <v>-13.11</v>
      </c>
      <c r="AP127" s="1" t="b">
        <f t="shared" si="44"/>
        <v>0</v>
      </c>
      <c r="AQ127" s="1" t="b">
        <f t="shared" si="44"/>
        <v>0</v>
      </c>
      <c r="AR127" s="7" t="b">
        <f t="shared" si="45"/>
        <v>0</v>
      </c>
      <c r="AS127" s="1">
        <f t="shared" si="46"/>
        <v>-7.0000000000000284E-2</v>
      </c>
      <c r="AT127" s="1">
        <f t="shared" si="46"/>
        <v>-0.19999999999999929</v>
      </c>
      <c r="AU127" s="7">
        <f t="shared" si="47"/>
        <v>0.12999999999999901</v>
      </c>
      <c r="AV127" s="1">
        <f>ROUND(IF(B127="NSW",N127*Meta!$B$6,N127),1)</f>
        <v>6522</v>
      </c>
      <c r="AW127" s="7">
        <f t="shared" si="51"/>
        <v>82140.399999999994</v>
      </c>
    </row>
    <row r="128" spans="1:49" x14ac:dyDescent="0.55000000000000004">
      <c r="A128" s="11" t="s">
        <v>141</v>
      </c>
      <c r="B128" s="7" t="s">
        <v>13</v>
      </c>
      <c r="C128" s="10">
        <v>50.07</v>
      </c>
      <c r="D128" s="10">
        <v>38.19</v>
      </c>
      <c r="E128" s="10">
        <v>0</v>
      </c>
      <c r="F128" s="10">
        <v>1.5</v>
      </c>
      <c r="G128" s="10">
        <v>1.9</v>
      </c>
      <c r="H128" s="10">
        <v>5.31</v>
      </c>
      <c r="I128" s="10">
        <v>4.93</v>
      </c>
      <c r="J128" s="7">
        <f t="shared" si="30"/>
        <v>4.53</v>
      </c>
      <c r="K128" s="10">
        <v>42.88</v>
      </c>
      <c r="L128" s="7">
        <v>57.12</v>
      </c>
      <c r="M128" s="10">
        <v>83183</v>
      </c>
      <c r="N128" s="10">
        <v>7690</v>
      </c>
      <c r="O128" s="7">
        <f t="shared" si="31"/>
        <v>75493</v>
      </c>
      <c r="P128" s="10">
        <f>ROUND($C128+MIN($D128:$E128)*(1-SUMIFS(PrefFlows!$C:$C,PrefFlows!$A:$A,INDEX($D$1:$E$1,MATCH(MIN($D128:$E128),$D128:$E128,0)),PrefFlows!$B:$B,$B128)),2)</f>
        <v>50.07</v>
      </c>
      <c r="Q128" s="10">
        <f>ROUND(MAX($D128:$E128)+MIN($D128:$E128)*SUMIFS(PrefFlows!$C:$C,PrefFlows!$A:$A,INDEX($D$1:$E$1,MATCH(MIN($D128:$E128),$D128:$E128,0)),PrefFlows!$B:$B,$B128),2)</f>
        <v>38.19</v>
      </c>
      <c r="R128" s="10">
        <f t="shared" si="32"/>
        <v>1.9</v>
      </c>
      <c r="S128" s="10">
        <f t="shared" si="33"/>
        <v>5.31</v>
      </c>
      <c r="T128" s="7">
        <f t="shared" si="34"/>
        <v>4.53</v>
      </c>
      <c r="U128" s="9">
        <f t="shared" si="35"/>
        <v>-11.88</v>
      </c>
      <c r="V128" s="10">
        <f>ROUND($R128*SUMIFS(PrefFlows!$C:$C,PrefFlows!$A:$A,$R$1,PrefFlows!$B:$B,$B128)+$S128*SUMIFS(PrefFlows!$C:$C,PrefFlows!$A:$A,$S$1,PrefFlows!$B:$B,$B128)+$T128*SUMIFS(PrefFlows!$C:$C,PrefFlows!$A:$A,$T$1,PrefFlows!$B:$B,$B128),2)</f>
        <v>4.33</v>
      </c>
      <c r="W128" s="7">
        <f>ROUND($R128*(1-SUMIFS(PrefFlows!$C:$C,PrefFlows!$A:$A,$R$1,PrefFlows!$B:$B,$B128))+$S128*(1-SUMIFS(PrefFlows!$C:$C,PrefFlows!$A:$A,$S$1,PrefFlows!$B:$B,$B128))+$T128*(1-SUMIFS(PrefFlows!$C:$C,PrefFlows!$A:$A,$T$1,PrefFlows!$B:$B,$B128)),2)</f>
        <v>7.41</v>
      </c>
      <c r="X128" s="10">
        <f t="shared" si="36"/>
        <v>4.6900000000000004</v>
      </c>
      <c r="Y128" s="7">
        <f t="shared" si="37"/>
        <v>7.05</v>
      </c>
      <c r="Z128" s="10">
        <f t="shared" si="38"/>
        <v>0.36880000000000002</v>
      </c>
      <c r="AA128" s="10">
        <f t="shared" si="39"/>
        <v>0.39950000000000002</v>
      </c>
      <c r="AB128" s="10">
        <f t="shared" si="40"/>
        <v>3.0700000000000002E-2</v>
      </c>
      <c r="AC128" s="7">
        <v>0.108914822523919</v>
      </c>
      <c r="AD128" s="10">
        <f>ROUND(R128*(1-(Exhaust!$B$2+AC128)),2)</f>
        <v>0.63</v>
      </c>
      <c r="AE128" s="10">
        <f>ROUND(S128*(1-(Exhaust!$B$3+$AC128)),2)</f>
        <v>2.61</v>
      </c>
      <c r="AF128" s="7">
        <f>ROUND(T128*(1-(Exhaust!$B$4+$AC128)),2)</f>
        <v>1.77</v>
      </c>
      <c r="AG128" s="10">
        <f>ROUND($AD128*(SUMIFS(PrefFlows!$C:$C,PrefFlows!$A:$A,$R$1,PrefFlows!$B:$B,$B128)+$AB128)+$AE128*(SUMIFS(PrefFlows!$C:$C,PrefFlows!$A:$A,$S$1,PrefFlows!$B:$B,$B128)+$AB128)+$AF128*(SUMIFS(PrefFlows!$C:$C,PrefFlows!$A:$A,$T$1,PrefFlows!$B:$B,$B128)+$AB128),2)</f>
        <v>1.88</v>
      </c>
      <c r="AH128" s="7">
        <f>ROUND($AD128*(1-(SUMIFS(PrefFlows!$C:$C,PrefFlows!$A:$A,$R$1,PrefFlows!$B:$B,$B128)+$AB128))+$AE128*(1-(SUMIFS(PrefFlows!$C:$C,PrefFlows!$A:$A,$S$1,PrefFlows!$B:$B,$B128)+$AB128))+$AF128*(1-(SUMIFS(PrefFlows!$C:$C,PrefFlows!$A:$A,$T$1,PrefFlows!$B:$B,$B128)+$AB128)),2)</f>
        <v>3.13</v>
      </c>
      <c r="AI128" s="10">
        <f t="shared" si="41"/>
        <v>40.07</v>
      </c>
      <c r="AJ128" s="7">
        <f t="shared" si="42"/>
        <v>53.2</v>
      </c>
      <c r="AK128" s="10">
        <f t="shared" si="43"/>
        <v>42.96</v>
      </c>
      <c r="AL128" s="7">
        <f t="shared" si="43"/>
        <v>57.04</v>
      </c>
      <c r="AM128" s="1">
        <f t="shared" si="48"/>
        <v>-7.12</v>
      </c>
      <c r="AN128" s="1">
        <f t="shared" si="49"/>
        <v>-6.94</v>
      </c>
      <c r="AO128" s="7">
        <f t="shared" si="50"/>
        <v>-7.04</v>
      </c>
      <c r="AP128" s="1" t="b">
        <f t="shared" si="44"/>
        <v>0</v>
      </c>
      <c r="AQ128" s="1" t="b">
        <f t="shared" si="44"/>
        <v>0</v>
      </c>
      <c r="AR128" s="7" t="b">
        <f t="shared" si="45"/>
        <v>0</v>
      </c>
      <c r="AS128" s="1">
        <f t="shared" si="46"/>
        <v>0.17999999999999972</v>
      </c>
      <c r="AT128" s="1">
        <f t="shared" si="46"/>
        <v>8.0000000000000071E-2</v>
      </c>
      <c r="AU128" s="7">
        <f t="shared" si="47"/>
        <v>9.9999999999999645E-2</v>
      </c>
      <c r="AV128" s="1">
        <f>ROUND(IF(B128="NSW",N128*Meta!$B$6,N128),1)</f>
        <v>5152.3</v>
      </c>
      <c r="AW128" s="7">
        <f t="shared" si="51"/>
        <v>74631.8</v>
      </c>
    </row>
    <row r="129" spans="1:49" x14ac:dyDescent="0.55000000000000004">
      <c r="A129" s="11" t="s">
        <v>142</v>
      </c>
      <c r="B129" s="7" t="s">
        <v>23</v>
      </c>
      <c r="C129" s="10">
        <v>43.92</v>
      </c>
      <c r="D129" s="10">
        <v>36.72</v>
      </c>
      <c r="E129" s="10">
        <v>1.51</v>
      </c>
      <c r="F129" s="10">
        <v>0.83</v>
      </c>
      <c r="G129" s="10">
        <v>2.04</v>
      </c>
      <c r="H129" s="10">
        <v>3.09</v>
      </c>
      <c r="I129" s="10">
        <v>13.93</v>
      </c>
      <c r="J129" s="7">
        <f t="shared" si="30"/>
        <v>12.72</v>
      </c>
      <c r="K129" s="10">
        <v>46.77</v>
      </c>
      <c r="L129" s="7">
        <v>53.23</v>
      </c>
      <c r="M129" s="10">
        <v>84559</v>
      </c>
      <c r="N129" s="10">
        <v>6078</v>
      </c>
      <c r="O129" s="7">
        <f t="shared" si="31"/>
        <v>78481</v>
      </c>
      <c r="P129" s="10">
        <f>ROUND($C129+MIN($D129:$E129)*(1-SUMIFS(PrefFlows!$C:$C,PrefFlows!$A:$A,INDEX($D$1:$E$1,MATCH(MIN($D129:$E129),$D129:$E129,0)),PrefFlows!$B:$B,$B129)),2)</f>
        <v>44.16</v>
      </c>
      <c r="Q129" s="10">
        <f>ROUND(MAX($D129:$E129)+MIN($D129:$E129)*SUMIFS(PrefFlows!$C:$C,PrefFlows!$A:$A,INDEX($D$1:$E$1,MATCH(MIN($D129:$E129),$D129:$E129,0)),PrefFlows!$B:$B,$B129),2)</f>
        <v>37.99</v>
      </c>
      <c r="R129" s="10">
        <f t="shared" si="32"/>
        <v>2.04</v>
      </c>
      <c r="S129" s="10">
        <f t="shared" si="33"/>
        <v>3.09</v>
      </c>
      <c r="T129" s="7">
        <f t="shared" si="34"/>
        <v>12.72</v>
      </c>
      <c r="U129" s="9">
        <f t="shared" si="35"/>
        <v>-6.17</v>
      </c>
      <c r="V129" s="10">
        <f>ROUND($R129*SUMIFS(PrefFlows!$C:$C,PrefFlows!$A:$A,$R$1,PrefFlows!$B:$B,$B129)+$S129*SUMIFS(PrefFlows!$C:$C,PrefFlows!$A:$A,$S$1,PrefFlows!$B:$B,$B129)+$T129*SUMIFS(PrefFlows!$C:$C,PrefFlows!$A:$A,$T$1,PrefFlows!$B:$B,$B129),2)</f>
        <v>8.4499999999999993</v>
      </c>
      <c r="W129" s="7">
        <f>ROUND($R129*(1-SUMIFS(PrefFlows!$C:$C,PrefFlows!$A:$A,$R$1,PrefFlows!$B:$B,$B129))+$S129*(1-SUMIFS(PrefFlows!$C:$C,PrefFlows!$A:$A,$S$1,PrefFlows!$B:$B,$B129))+$T129*(1-SUMIFS(PrefFlows!$C:$C,PrefFlows!$A:$A,$T$1,PrefFlows!$B:$B,$B129)),2)</f>
        <v>9.4</v>
      </c>
      <c r="X129" s="10">
        <f t="shared" si="36"/>
        <v>8.7799999999999994</v>
      </c>
      <c r="Y129" s="7">
        <f t="shared" si="37"/>
        <v>9.07</v>
      </c>
      <c r="Z129" s="10">
        <f t="shared" si="38"/>
        <v>0.47339999999999999</v>
      </c>
      <c r="AA129" s="10">
        <f t="shared" si="39"/>
        <v>0.4919</v>
      </c>
      <c r="AB129" s="10">
        <f t="shared" si="40"/>
        <v>1.8499999999999999E-2</v>
      </c>
      <c r="AC129" s="7">
        <v>7.1236680010674305E-2</v>
      </c>
      <c r="AD129" s="10">
        <f>ROUND(R129*(1-(Exhaust!$B$2+AC129)),2)</f>
        <v>0.75</v>
      </c>
      <c r="AE129" s="10">
        <f>ROUND(S129*(1-(Exhaust!$B$3+$AC129)),2)</f>
        <v>1.63</v>
      </c>
      <c r="AF129" s="7">
        <f>ROUND(T129*(1-(Exhaust!$B$4+$AC129)),2)</f>
        <v>5.45</v>
      </c>
      <c r="AG129" s="10">
        <f>ROUND($AD129*(SUMIFS(PrefFlows!$C:$C,PrefFlows!$A:$A,$R$1,PrefFlows!$B:$B,$B129)+$AB129)+$AE129*(SUMIFS(PrefFlows!$C:$C,PrefFlows!$A:$A,$S$1,PrefFlows!$B:$B,$B129)+$AB129)+$AF129*(SUMIFS(PrefFlows!$C:$C,PrefFlows!$A:$A,$T$1,PrefFlows!$B:$B,$B129)+$AB129),2)</f>
        <v>3.77</v>
      </c>
      <c r="AH129" s="7">
        <f>ROUND($AD129*(1-(SUMIFS(PrefFlows!$C:$C,PrefFlows!$A:$A,$R$1,PrefFlows!$B:$B,$B129)+$AB129))+$AE129*(1-(SUMIFS(PrefFlows!$C:$C,PrefFlows!$A:$A,$S$1,PrefFlows!$B:$B,$B129)+$AB129))+$AF129*(1-(SUMIFS(PrefFlows!$C:$C,PrefFlows!$A:$A,$T$1,PrefFlows!$B:$B,$B129)+$AB129)),2)</f>
        <v>4.0599999999999996</v>
      </c>
      <c r="AI129" s="10">
        <f t="shared" si="41"/>
        <v>41.76</v>
      </c>
      <c r="AJ129" s="7">
        <f t="shared" si="42"/>
        <v>48.22</v>
      </c>
      <c r="AK129" s="10">
        <f t="shared" si="43"/>
        <v>46.41</v>
      </c>
      <c r="AL129" s="7">
        <f t="shared" si="43"/>
        <v>53.59</v>
      </c>
      <c r="AM129" s="1">
        <f t="shared" si="48"/>
        <v>-3.23</v>
      </c>
      <c r="AN129" s="1">
        <f t="shared" si="49"/>
        <v>-3.46</v>
      </c>
      <c r="AO129" s="7">
        <f t="shared" si="50"/>
        <v>-3.59</v>
      </c>
      <c r="AP129" s="1" t="b">
        <f t="shared" si="44"/>
        <v>0</v>
      </c>
      <c r="AQ129" s="1" t="b">
        <f t="shared" si="44"/>
        <v>0</v>
      </c>
      <c r="AR129" s="7" t="b">
        <f t="shared" si="45"/>
        <v>0</v>
      </c>
      <c r="AS129" s="1">
        <f t="shared" si="46"/>
        <v>-0.22999999999999998</v>
      </c>
      <c r="AT129" s="1">
        <f t="shared" si="46"/>
        <v>-0.35999999999999988</v>
      </c>
      <c r="AU129" s="7">
        <f t="shared" si="47"/>
        <v>0.12999999999999989</v>
      </c>
      <c r="AV129" s="1">
        <f>ROUND(IF(B129="NSW",N129*Meta!$B$6,N129),1)</f>
        <v>6078</v>
      </c>
      <c r="AW129" s="7">
        <f t="shared" si="51"/>
        <v>72725.600000000006</v>
      </c>
    </row>
    <row r="130" spans="1:49" x14ac:dyDescent="0.55000000000000004">
      <c r="A130" s="11" t="s">
        <v>143</v>
      </c>
      <c r="B130" s="7" t="s">
        <v>13</v>
      </c>
      <c r="C130" s="10">
        <v>51.37</v>
      </c>
      <c r="D130" s="10">
        <v>30.76</v>
      </c>
      <c r="E130" s="10">
        <v>0</v>
      </c>
      <c r="F130" s="10">
        <v>1.25</v>
      </c>
      <c r="G130" s="10">
        <v>1.97</v>
      </c>
      <c r="H130" s="10">
        <v>5.25</v>
      </c>
      <c r="I130" s="10">
        <v>11.37</v>
      </c>
      <c r="J130" s="7">
        <f t="shared" si="30"/>
        <v>10.65</v>
      </c>
      <c r="K130" s="10">
        <v>37.229999999999997</v>
      </c>
      <c r="L130" s="7">
        <v>62.77</v>
      </c>
      <c r="M130" s="10">
        <v>72883</v>
      </c>
      <c r="N130" s="10">
        <v>8537</v>
      </c>
      <c r="O130" s="7">
        <f t="shared" si="31"/>
        <v>64346</v>
      </c>
      <c r="P130" s="10">
        <f>ROUND($C130+MIN($D130:$E130)*(1-SUMIFS(PrefFlows!$C:$C,PrefFlows!$A:$A,INDEX($D$1:$E$1,MATCH(MIN($D130:$E130),$D130:$E130,0)),PrefFlows!$B:$B,$B130)),2)</f>
        <v>51.37</v>
      </c>
      <c r="Q130" s="10">
        <f>ROUND(MAX($D130:$E130)+MIN($D130:$E130)*SUMIFS(PrefFlows!$C:$C,PrefFlows!$A:$A,INDEX($D$1:$E$1,MATCH(MIN($D130:$E130),$D130:$E130,0)),PrefFlows!$B:$B,$B130),2)</f>
        <v>30.76</v>
      </c>
      <c r="R130" s="10">
        <f t="shared" si="32"/>
        <v>1.97</v>
      </c>
      <c r="S130" s="10">
        <f t="shared" si="33"/>
        <v>5.25</v>
      </c>
      <c r="T130" s="7">
        <f t="shared" si="34"/>
        <v>10.65</v>
      </c>
      <c r="U130" s="9">
        <f t="shared" si="35"/>
        <v>-20.61</v>
      </c>
      <c r="V130" s="10">
        <f>ROUND($R130*SUMIFS(PrefFlows!$C:$C,PrefFlows!$A:$A,$R$1,PrefFlows!$B:$B,$B130)+$S130*SUMIFS(PrefFlows!$C:$C,PrefFlows!$A:$A,$S$1,PrefFlows!$B:$B,$B130)+$T130*SUMIFS(PrefFlows!$C:$C,PrefFlows!$A:$A,$T$1,PrefFlows!$B:$B,$B130),2)</f>
        <v>7.57</v>
      </c>
      <c r="W130" s="7">
        <f>ROUND($R130*(1-SUMIFS(PrefFlows!$C:$C,PrefFlows!$A:$A,$R$1,PrefFlows!$B:$B,$B130))+$S130*(1-SUMIFS(PrefFlows!$C:$C,PrefFlows!$A:$A,$S$1,PrefFlows!$B:$B,$B130))+$T130*(1-SUMIFS(PrefFlows!$C:$C,PrefFlows!$A:$A,$T$1,PrefFlows!$B:$B,$B130)),2)</f>
        <v>10.3</v>
      </c>
      <c r="X130" s="10">
        <f t="shared" si="36"/>
        <v>6.47</v>
      </c>
      <c r="Y130" s="7">
        <f t="shared" si="37"/>
        <v>11.4</v>
      </c>
      <c r="Z130" s="10">
        <f t="shared" si="38"/>
        <v>0.42359999999999998</v>
      </c>
      <c r="AA130" s="10">
        <f t="shared" si="39"/>
        <v>0.36209999999999998</v>
      </c>
      <c r="AB130" s="10">
        <f t="shared" si="40"/>
        <v>-6.1499999999999999E-2</v>
      </c>
      <c r="AC130" s="7">
        <v>0.103801354284529</v>
      </c>
      <c r="AD130" s="10">
        <f>ROUND(R130*(1-(Exhaust!$B$2+AC130)),2)</f>
        <v>0.66</v>
      </c>
      <c r="AE130" s="10">
        <f>ROUND(S130*(1-(Exhaust!$B$3+$AC130)),2)</f>
        <v>2.61</v>
      </c>
      <c r="AF130" s="7">
        <f>ROUND(T130*(1-(Exhaust!$B$4+$AC130)),2)</f>
        <v>4.22</v>
      </c>
      <c r="AG130" s="10">
        <f>ROUND($AD130*(SUMIFS(PrefFlows!$C:$C,PrefFlows!$A:$A,$R$1,PrefFlows!$B:$B,$B130)+$AB130)+$AE130*(SUMIFS(PrefFlows!$C:$C,PrefFlows!$A:$A,$S$1,PrefFlows!$B:$B,$B130)+$AB130)+$AF130*(SUMIFS(PrefFlows!$C:$C,PrefFlows!$A:$A,$T$1,PrefFlows!$B:$B,$B130)+$AB130),2)</f>
        <v>2.57</v>
      </c>
      <c r="AH130" s="7">
        <f>ROUND($AD130*(1-(SUMIFS(PrefFlows!$C:$C,PrefFlows!$A:$A,$R$1,PrefFlows!$B:$B,$B130)+$AB130))+$AE130*(1-(SUMIFS(PrefFlows!$C:$C,PrefFlows!$A:$A,$S$1,PrefFlows!$B:$B,$B130)+$AB130))+$AF130*(1-(SUMIFS(PrefFlows!$C:$C,PrefFlows!$A:$A,$T$1,PrefFlows!$B:$B,$B130)+$AB130)),2)</f>
        <v>4.92</v>
      </c>
      <c r="AI130" s="10">
        <f t="shared" si="41"/>
        <v>33.33</v>
      </c>
      <c r="AJ130" s="7">
        <f t="shared" si="42"/>
        <v>56.29</v>
      </c>
      <c r="AK130" s="10">
        <f t="shared" si="43"/>
        <v>37.19</v>
      </c>
      <c r="AL130" s="7">
        <f t="shared" si="43"/>
        <v>62.81</v>
      </c>
      <c r="AM130" s="1">
        <f t="shared" ref="AM130:AM151" si="52">ROUND(K130-50,2)</f>
        <v>-12.77</v>
      </c>
      <c r="AN130" s="1">
        <f t="shared" ref="AN130:AN151" si="53">ROUND((Q130+X130*0.52)/((Q130+X130*0.52)+(P130+Y130*0.52))*100-50,2)</f>
        <v>-12.67</v>
      </c>
      <c r="AO130" s="7">
        <f t="shared" ref="AO130:AO151" si="54">ROUND(AK130-50,2)</f>
        <v>-12.81</v>
      </c>
      <c r="AP130" s="1" t="b">
        <f t="shared" si="44"/>
        <v>0</v>
      </c>
      <c r="AQ130" s="1" t="b">
        <f t="shared" si="44"/>
        <v>0</v>
      </c>
      <c r="AR130" s="7" t="b">
        <f t="shared" si="45"/>
        <v>0</v>
      </c>
      <c r="AS130" s="1">
        <f t="shared" si="46"/>
        <v>9.9999999999999645E-2</v>
      </c>
      <c r="AT130" s="1">
        <f t="shared" si="46"/>
        <v>-4.0000000000000924E-2</v>
      </c>
      <c r="AU130" s="7">
        <f t="shared" si="47"/>
        <v>0.14000000000000057</v>
      </c>
      <c r="AV130" s="1">
        <f>ROUND(IF(B130="NSW",N130*Meta!$B$6,N130),1)</f>
        <v>5719.8</v>
      </c>
      <c r="AW130" s="7">
        <f t="shared" ref="AW130:AW161" si="55">ROUND((M130-AV130*($AV$153/$AV$152))*SUM($AI130:$AJ130)/100,1)</f>
        <v>62167.8</v>
      </c>
    </row>
    <row r="131" spans="1:49" x14ac:dyDescent="0.55000000000000004">
      <c r="A131" s="11" t="s">
        <v>144</v>
      </c>
      <c r="B131" s="7" t="s">
        <v>13</v>
      </c>
      <c r="C131" s="10">
        <v>35.6</v>
      </c>
      <c r="D131" s="10">
        <v>0</v>
      </c>
      <c r="E131" s="10">
        <v>45.79</v>
      </c>
      <c r="F131" s="10">
        <v>1.1599999999999999</v>
      </c>
      <c r="G131" s="10">
        <v>0</v>
      </c>
      <c r="H131" s="10">
        <v>12.37</v>
      </c>
      <c r="I131" s="10">
        <v>5.08</v>
      </c>
      <c r="J131" s="7">
        <f t="shared" ref="J131:J151" si="56">ROUND(F131+I131-G131,2)</f>
        <v>6.24</v>
      </c>
      <c r="K131" s="10">
        <v>49.81</v>
      </c>
      <c r="L131" s="7">
        <v>50.19</v>
      </c>
      <c r="M131" s="10">
        <v>81770</v>
      </c>
      <c r="N131" s="10">
        <v>2951</v>
      </c>
      <c r="O131" s="7">
        <f t="shared" ref="O131:O151" si="57">ROUND(M131-N131,0)</f>
        <v>78819</v>
      </c>
      <c r="P131" s="10">
        <f>ROUND($C131+MIN($D131:$E131)*(1-SUMIFS(PrefFlows!$C:$C,PrefFlows!$A:$A,INDEX($D$1:$E$1,MATCH(MIN($D131:$E131),$D131:$E131,0)),PrefFlows!$B:$B,$B131)),2)</f>
        <v>35.6</v>
      </c>
      <c r="Q131" s="10">
        <f>ROUND(MAX($D131:$E131)+MIN($D131:$E131)*SUMIFS(PrefFlows!$C:$C,PrefFlows!$A:$A,INDEX($D$1:$E$1,MATCH(MIN($D131:$E131),$D131:$E131,0)),PrefFlows!$B:$B,$B131),2)</f>
        <v>45.79</v>
      </c>
      <c r="R131" s="10">
        <f t="shared" ref="R131:R151" si="58">ROUND(G131,2)</f>
        <v>0</v>
      </c>
      <c r="S131" s="10">
        <f t="shared" ref="S131:S151" si="59">ROUND(H131,2)</f>
        <v>12.37</v>
      </c>
      <c r="T131" s="7">
        <f t="shared" ref="T131:T151" si="60">ROUND(J131,2)</f>
        <v>6.24</v>
      </c>
      <c r="U131" s="9">
        <f t="shared" ref="U131:U151" si="61">ROUND(Q131-P131,2)</f>
        <v>10.19</v>
      </c>
      <c r="V131" s="10">
        <f>ROUND($R131*SUMIFS(PrefFlows!$C:$C,PrefFlows!$A:$A,$R$1,PrefFlows!$B:$B,$B131)+$S131*SUMIFS(PrefFlows!$C:$C,PrefFlows!$A:$A,$S$1,PrefFlows!$B:$B,$B131)+$T131*SUMIFS(PrefFlows!$C:$C,PrefFlows!$A:$A,$T$1,PrefFlows!$B:$B,$B131),2)</f>
        <v>5.46</v>
      </c>
      <c r="W131" s="7">
        <f>ROUND($R131*(1-SUMIFS(PrefFlows!$C:$C,PrefFlows!$A:$A,$R$1,PrefFlows!$B:$B,$B131))+$S131*(1-SUMIFS(PrefFlows!$C:$C,PrefFlows!$A:$A,$S$1,PrefFlows!$B:$B,$B131))+$T131*(1-SUMIFS(PrefFlows!$C:$C,PrefFlows!$A:$A,$T$1,PrefFlows!$B:$B,$B131)),2)</f>
        <v>13.15</v>
      </c>
      <c r="X131" s="10">
        <f t="shared" ref="X131:X151" si="62">ROUND(K131-Q131,2)</f>
        <v>4.0199999999999996</v>
      </c>
      <c r="Y131" s="7">
        <f t="shared" ref="Y131:Y151" si="63">ROUND(L131-P131,2)</f>
        <v>14.59</v>
      </c>
      <c r="Z131" s="10">
        <f t="shared" ref="Z131:Z151" si="64">ROUND(V131/SUM(V131:W131),4)</f>
        <v>0.29339999999999999</v>
      </c>
      <c r="AA131" s="10">
        <f t="shared" ref="AA131:AA151" si="65">ROUND(X131/SUM(X131:Y131),4)</f>
        <v>0.216</v>
      </c>
      <c r="AB131" s="10">
        <f t="shared" ref="AB131:AB151" si="66">ROUND(AA131-Z131,4)</f>
        <v>-7.7399999999999997E-2</v>
      </c>
      <c r="AC131" s="7">
        <v>4.4468132631590697E-2</v>
      </c>
      <c r="AD131" s="10">
        <f>ROUND(R131*(1-(Exhaust!$B$2+AC131)),2)</f>
        <v>0</v>
      </c>
      <c r="AE131" s="10">
        <f>ROUND(S131*(1-(Exhaust!$B$3+$AC131)),2)</f>
        <v>6.87</v>
      </c>
      <c r="AF131" s="7">
        <f>ROUND(T131*(1-(Exhaust!$B$4+$AC131)),2)</f>
        <v>2.84</v>
      </c>
      <c r="AG131" s="10">
        <f>ROUND($AD131*(SUMIFS(PrefFlows!$C:$C,PrefFlows!$A:$A,$R$1,PrefFlows!$B:$B,$B131)+$AB131)+$AE131*(SUMIFS(PrefFlows!$C:$C,PrefFlows!$A:$A,$S$1,PrefFlows!$B:$B,$B131)+$AB131)+$AF131*(SUMIFS(PrefFlows!$C:$C,PrefFlows!$A:$A,$T$1,PrefFlows!$B:$B,$B131)+$AB131),2)</f>
        <v>1.95</v>
      </c>
      <c r="AH131" s="7">
        <f>ROUND($AD131*(1-(SUMIFS(PrefFlows!$C:$C,PrefFlows!$A:$A,$R$1,PrefFlows!$B:$B,$B131)+$AB131))+$AE131*(1-(SUMIFS(PrefFlows!$C:$C,PrefFlows!$A:$A,$S$1,PrefFlows!$B:$B,$B131)+$AB131))+$AF131*(1-(SUMIFS(PrefFlows!$C:$C,PrefFlows!$A:$A,$T$1,PrefFlows!$B:$B,$B131)+$AB131)),2)</f>
        <v>7.76</v>
      </c>
      <c r="AI131" s="10">
        <f t="shared" ref="AI131:AI151" si="67">ROUND(Q131+AG131,2)</f>
        <v>47.74</v>
      </c>
      <c r="AJ131" s="7">
        <f t="shared" ref="AJ131:AJ151" si="68">ROUND(P131+AH131,2)</f>
        <v>43.36</v>
      </c>
      <c r="AK131" s="10">
        <f t="shared" ref="AK131:AL151" si="69">ROUND(AI131/SUM($AI131:$AJ131)*100,2)</f>
        <v>52.4</v>
      </c>
      <c r="AL131" s="7">
        <f t="shared" si="69"/>
        <v>47.6</v>
      </c>
      <c r="AM131" s="1">
        <f t="shared" si="52"/>
        <v>-0.19</v>
      </c>
      <c r="AN131" s="1">
        <f t="shared" si="53"/>
        <v>2.58</v>
      </c>
      <c r="AO131" s="7">
        <f t="shared" si="54"/>
        <v>2.4</v>
      </c>
      <c r="AP131" s="1" t="b">
        <f t="shared" ref="AP131:AQ151" si="70">$AM131/AN131&lt;0</f>
        <v>1</v>
      </c>
      <c r="AQ131" s="1" t="b">
        <f t="shared" si="70"/>
        <v>1</v>
      </c>
      <c r="AR131" s="7" t="b">
        <f t="shared" ref="AR131:AR151" si="71">AN131/AO131&lt;0</f>
        <v>0</v>
      </c>
      <c r="AS131" s="1">
        <f t="shared" ref="AS131:AT151" si="72">(AN131-$AM131)</f>
        <v>2.77</v>
      </c>
      <c r="AT131" s="1">
        <f t="shared" si="72"/>
        <v>2.59</v>
      </c>
      <c r="AU131" s="7">
        <f t="shared" ref="AU131:AU151" si="73">ABS(AO131-$AN131)</f>
        <v>0.18000000000000016</v>
      </c>
      <c r="AV131" s="1">
        <f>ROUND(IF(B131="NSW",N131*Meta!$B$6,N131),1)</f>
        <v>1977.2</v>
      </c>
      <c r="AW131" s="7">
        <f t="shared" si="55"/>
        <v>73385.600000000006</v>
      </c>
    </row>
    <row r="132" spans="1:49" x14ac:dyDescent="0.55000000000000004">
      <c r="A132" s="11" t="s">
        <v>145</v>
      </c>
      <c r="B132" s="7" t="s">
        <v>13</v>
      </c>
      <c r="C132" s="10">
        <v>24.7</v>
      </c>
      <c r="D132" s="10">
        <v>0</v>
      </c>
      <c r="E132" s="10">
        <v>66.83</v>
      </c>
      <c r="F132" s="10">
        <v>0</v>
      </c>
      <c r="G132" s="10">
        <v>4.17</v>
      </c>
      <c r="H132" s="10">
        <v>4.3</v>
      </c>
      <c r="I132" s="10">
        <v>4.17</v>
      </c>
      <c r="J132" s="7">
        <f t="shared" si="56"/>
        <v>0</v>
      </c>
      <c r="K132" s="10">
        <v>70.66</v>
      </c>
      <c r="L132" s="7">
        <v>29.34</v>
      </c>
      <c r="M132" s="10">
        <v>84490</v>
      </c>
      <c r="N132" s="10">
        <v>3196</v>
      </c>
      <c r="O132" s="7">
        <f t="shared" si="57"/>
        <v>81294</v>
      </c>
      <c r="P132" s="10">
        <f>ROUND($C132+MIN($D132:$E132)*(1-SUMIFS(PrefFlows!$C:$C,PrefFlows!$A:$A,INDEX($D$1:$E$1,MATCH(MIN($D132:$E132),$D132:$E132,0)),PrefFlows!$B:$B,$B132)),2)</f>
        <v>24.7</v>
      </c>
      <c r="Q132" s="10">
        <f>ROUND(MAX($D132:$E132)+MIN($D132:$E132)*SUMIFS(PrefFlows!$C:$C,PrefFlows!$A:$A,INDEX($D$1:$E$1,MATCH(MIN($D132:$E132),$D132:$E132,0)),PrefFlows!$B:$B,$B132),2)</f>
        <v>66.83</v>
      </c>
      <c r="R132" s="10">
        <f t="shared" si="58"/>
        <v>4.17</v>
      </c>
      <c r="S132" s="10">
        <f t="shared" si="59"/>
        <v>4.3</v>
      </c>
      <c r="T132" s="7">
        <f t="shared" si="60"/>
        <v>0</v>
      </c>
      <c r="U132" s="9">
        <f t="shared" si="61"/>
        <v>42.13</v>
      </c>
      <c r="V132" s="10">
        <f>ROUND($R132*SUMIFS(PrefFlows!$C:$C,PrefFlows!$A:$A,$R$1,PrefFlows!$B:$B,$B132)+$S132*SUMIFS(PrefFlows!$C:$C,PrefFlows!$A:$A,$S$1,PrefFlows!$B:$B,$B132)+$T132*SUMIFS(PrefFlows!$C:$C,PrefFlows!$A:$A,$T$1,PrefFlows!$B:$B,$B132),2)</f>
        <v>2.99</v>
      </c>
      <c r="W132" s="7">
        <f>ROUND($R132*(1-SUMIFS(PrefFlows!$C:$C,PrefFlows!$A:$A,$R$1,PrefFlows!$B:$B,$B132))+$S132*(1-SUMIFS(PrefFlows!$C:$C,PrefFlows!$A:$A,$S$1,PrefFlows!$B:$B,$B132))+$T132*(1-SUMIFS(PrefFlows!$C:$C,PrefFlows!$A:$A,$T$1,PrefFlows!$B:$B,$B132)),2)</f>
        <v>5.48</v>
      </c>
      <c r="X132" s="10">
        <f t="shared" si="62"/>
        <v>3.83</v>
      </c>
      <c r="Y132" s="7">
        <f t="shared" si="63"/>
        <v>4.6399999999999997</v>
      </c>
      <c r="Z132" s="10">
        <f t="shared" si="64"/>
        <v>0.35299999999999998</v>
      </c>
      <c r="AA132" s="10">
        <f t="shared" si="65"/>
        <v>0.45219999999999999</v>
      </c>
      <c r="AB132" s="10">
        <f t="shared" si="66"/>
        <v>9.9199999999999997E-2</v>
      </c>
      <c r="AC132" s="7">
        <v>9.4330088548431092E-3</v>
      </c>
      <c r="AD132" s="10">
        <f>ROUND(R132*(1-(Exhaust!$B$2+AC132)),2)</f>
        <v>1.8</v>
      </c>
      <c r="AE132" s="10">
        <f>ROUND(S132*(1-(Exhaust!$B$3+$AC132)),2)</f>
        <v>2.54</v>
      </c>
      <c r="AF132" s="7">
        <f>ROUND(T132*(1-(Exhaust!$B$4+$AC132)),2)</f>
        <v>0</v>
      </c>
      <c r="AG132" s="10">
        <f>ROUND($AD132*(SUMIFS(PrefFlows!$C:$C,PrefFlows!$A:$A,$R$1,PrefFlows!$B:$B,$B132)+$AB132)+$AE132*(SUMIFS(PrefFlows!$C:$C,PrefFlows!$A:$A,$S$1,PrefFlows!$B:$B,$B132)+$AB132)+$AF132*(SUMIFS(PrefFlows!$C:$C,PrefFlows!$A:$A,$T$1,PrefFlows!$B:$B,$B132)+$AB132),2)</f>
        <v>1.84</v>
      </c>
      <c r="AH132" s="7">
        <f>ROUND($AD132*(1-(SUMIFS(PrefFlows!$C:$C,PrefFlows!$A:$A,$R$1,PrefFlows!$B:$B,$B132)+$AB132))+$AE132*(1-(SUMIFS(PrefFlows!$C:$C,PrefFlows!$A:$A,$S$1,PrefFlows!$B:$B,$B132)+$AB132))+$AF132*(1-(SUMIFS(PrefFlows!$C:$C,PrefFlows!$A:$A,$T$1,PrefFlows!$B:$B,$B132)+$AB132)),2)</f>
        <v>2.5</v>
      </c>
      <c r="AI132" s="10">
        <f t="shared" si="67"/>
        <v>68.67</v>
      </c>
      <c r="AJ132" s="7">
        <f t="shared" si="68"/>
        <v>27.2</v>
      </c>
      <c r="AK132" s="10">
        <f t="shared" si="69"/>
        <v>71.63</v>
      </c>
      <c r="AL132" s="7">
        <f t="shared" si="69"/>
        <v>28.37</v>
      </c>
      <c r="AM132" s="1">
        <f t="shared" si="52"/>
        <v>20.66</v>
      </c>
      <c r="AN132" s="1">
        <f t="shared" si="53"/>
        <v>21.74</v>
      </c>
      <c r="AO132" s="7">
        <f t="shared" si="54"/>
        <v>21.63</v>
      </c>
      <c r="AP132" s="1" t="b">
        <f t="shared" si="70"/>
        <v>0</v>
      </c>
      <c r="AQ132" s="1" t="b">
        <f t="shared" si="70"/>
        <v>0</v>
      </c>
      <c r="AR132" s="7" t="b">
        <f t="shared" si="71"/>
        <v>0</v>
      </c>
      <c r="AS132" s="1">
        <f t="shared" si="72"/>
        <v>1.0799999999999983</v>
      </c>
      <c r="AT132" s="1">
        <f t="shared" si="72"/>
        <v>0.96999999999999886</v>
      </c>
      <c r="AU132" s="7">
        <f t="shared" si="73"/>
        <v>0.10999999999999943</v>
      </c>
      <c r="AV132" s="1">
        <f>ROUND(IF(B132="NSW",N132*Meta!$B$6,N132),1)</f>
        <v>2141.3000000000002</v>
      </c>
      <c r="AW132" s="7">
        <f t="shared" si="55"/>
        <v>79739.100000000006</v>
      </c>
    </row>
    <row r="133" spans="1:49" x14ac:dyDescent="0.55000000000000004">
      <c r="A133" s="11" t="s">
        <v>146</v>
      </c>
      <c r="B133" s="7" t="s">
        <v>13</v>
      </c>
      <c r="C133" s="10">
        <v>34.76</v>
      </c>
      <c r="D133" s="10">
        <v>53.62</v>
      </c>
      <c r="E133" s="10">
        <v>0</v>
      </c>
      <c r="F133" s="10">
        <v>0</v>
      </c>
      <c r="G133" s="10">
        <v>1.72</v>
      </c>
      <c r="H133" s="10">
        <v>7.95</v>
      </c>
      <c r="I133" s="10">
        <v>3.67</v>
      </c>
      <c r="J133" s="7">
        <f t="shared" si="56"/>
        <v>1.95</v>
      </c>
      <c r="K133" s="10">
        <v>56.81</v>
      </c>
      <c r="L133" s="7">
        <v>43.19</v>
      </c>
      <c r="M133" s="10">
        <v>81571</v>
      </c>
      <c r="N133" s="10">
        <v>3581</v>
      </c>
      <c r="O133" s="7">
        <f t="shared" si="57"/>
        <v>77990</v>
      </c>
      <c r="P133" s="10">
        <f>ROUND($C133+MIN($D133:$E133)*(1-SUMIFS(PrefFlows!$C:$C,PrefFlows!$A:$A,INDEX($D$1:$E$1,MATCH(MIN($D133:$E133),$D133:$E133,0)),PrefFlows!$B:$B,$B133)),2)</f>
        <v>34.76</v>
      </c>
      <c r="Q133" s="10">
        <f>ROUND(MAX($D133:$E133)+MIN($D133:$E133)*SUMIFS(PrefFlows!$C:$C,PrefFlows!$A:$A,INDEX($D$1:$E$1,MATCH(MIN($D133:$E133),$D133:$E133,0)),PrefFlows!$B:$B,$B133),2)</f>
        <v>53.62</v>
      </c>
      <c r="R133" s="10">
        <f t="shared" si="58"/>
        <v>1.72</v>
      </c>
      <c r="S133" s="10">
        <f t="shared" si="59"/>
        <v>7.95</v>
      </c>
      <c r="T133" s="7">
        <f t="shared" si="60"/>
        <v>1.95</v>
      </c>
      <c r="U133" s="9">
        <f t="shared" si="61"/>
        <v>18.86</v>
      </c>
      <c r="V133" s="10">
        <f>ROUND($R133*SUMIFS(PrefFlows!$C:$C,PrefFlows!$A:$A,$R$1,PrefFlows!$B:$B,$B133)+$S133*SUMIFS(PrefFlows!$C:$C,PrefFlows!$A:$A,$S$1,PrefFlows!$B:$B,$B133)+$T133*SUMIFS(PrefFlows!$C:$C,PrefFlows!$A:$A,$T$1,PrefFlows!$B:$B,$B133),2)</f>
        <v>3.35</v>
      </c>
      <c r="W133" s="7">
        <f>ROUND($R133*(1-SUMIFS(PrefFlows!$C:$C,PrefFlows!$A:$A,$R$1,PrefFlows!$B:$B,$B133))+$S133*(1-SUMIFS(PrefFlows!$C:$C,PrefFlows!$A:$A,$S$1,PrefFlows!$B:$B,$B133))+$T133*(1-SUMIFS(PrefFlows!$C:$C,PrefFlows!$A:$A,$T$1,PrefFlows!$B:$B,$B133)),2)</f>
        <v>8.27</v>
      </c>
      <c r="X133" s="10">
        <f t="shared" si="62"/>
        <v>3.19</v>
      </c>
      <c r="Y133" s="7">
        <f t="shared" si="63"/>
        <v>8.43</v>
      </c>
      <c r="Z133" s="10">
        <f t="shared" si="64"/>
        <v>0.2883</v>
      </c>
      <c r="AA133" s="10">
        <f t="shared" si="65"/>
        <v>0.27450000000000002</v>
      </c>
      <c r="AB133" s="10">
        <f t="shared" si="66"/>
        <v>-1.38E-2</v>
      </c>
      <c r="AC133" s="7">
        <v>5.4999938484868303E-2</v>
      </c>
      <c r="AD133" s="10">
        <f>ROUND(R133*(1-(Exhaust!$B$2+AC133)),2)</f>
        <v>0.66</v>
      </c>
      <c r="AE133" s="10">
        <f>ROUND(S133*(1-(Exhaust!$B$3+$AC133)),2)</f>
        <v>4.33</v>
      </c>
      <c r="AF133" s="7">
        <f>ROUND(T133*(1-(Exhaust!$B$4+$AC133)),2)</f>
        <v>0.87</v>
      </c>
      <c r="AG133" s="10">
        <f>ROUND($AD133*(SUMIFS(PrefFlows!$C:$C,PrefFlows!$A:$A,$R$1,PrefFlows!$B:$B,$B133)+$AB133)+$AE133*(SUMIFS(PrefFlows!$C:$C,PrefFlows!$A:$A,$S$1,PrefFlows!$B:$B,$B133)+$AB133)+$AF133*(SUMIFS(PrefFlows!$C:$C,PrefFlows!$A:$A,$T$1,PrefFlows!$B:$B,$B133)+$AB133),2)</f>
        <v>1.49</v>
      </c>
      <c r="AH133" s="7">
        <f>ROUND($AD133*(1-(SUMIFS(PrefFlows!$C:$C,PrefFlows!$A:$A,$R$1,PrefFlows!$B:$B,$B133)+$AB133))+$AE133*(1-(SUMIFS(PrefFlows!$C:$C,PrefFlows!$A:$A,$S$1,PrefFlows!$B:$B,$B133)+$AB133))+$AF133*(1-(SUMIFS(PrefFlows!$C:$C,PrefFlows!$A:$A,$T$1,PrefFlows!$B:$B,$B133)+$AB133)),2)</f>
        <v>4.37</v>
      </c>
      <c r="AI133" s="10">
        <f t="shared" si="67"/>
        <v>55.11</v>
      </c>
      <c r="AJ133" s="7">
        <f t="shared" si="68"/>
        <v>39.130000000000003</v>
      </c>
      <c r="AK133" s="10">
        <f t="shared" si="69"/>
        <v>58.48</v>
      </c>
      <c r="AL133" s="7">
        <f t="shared" si="69"/>
        <v>41.52</v>
      </c>
      <c r="AM133" s="1">
        <f t="shared" si="52"/>
        <v>6.81</v>
      </c>
      <c r="AN133" s="1">
        <f t="shared" si="53"/>
        <v>8.5399999999999991</v>
      </c>
      <c r="AO133" s="7">
        <f t="shared" si="54"/>
        <v>8.48</v>
      </c>
      <c r="AP133" s="1" t="b">
        <f t="shared" si="70"/>
        <v>0</v>
      </c>
      <c r="AQ133" s="1" t="b">
        <f t="shared" si="70"/>
        <v>0</v>
      </c>
      <c r="AR133" s="7" t="b">
        <f t="shared" si="71"/>
        <v>0</v>
      </c>
      <c r="AS133" s="1">
        <f t="shared" si="72"/>
        <v>1.7299999999999995</v>
      </c>
      <c r="AT133" s="1">
        <f t="shared" si="72"/>
        <v>1.6700000000000008</v>
      </c>
      <c r="AU133" s="7">
        <f t="shared" si="73"/>
        <v>5.9999999999998721E-2</v>
      </c>
      <c r="AV133" s="1">
        <f>ROUND(IF(B133="NSW",N133*Meta!$B$6,N133),1)</f>
        <v>2399.3000000000002</v>
      </c>
      <c r="AW133" s="7">
        <f t="shared" si="55"/>
        <v>75483.100000000006</v>
      </c>
    </row>
    <row r="134" spans="1:49" x14ac:dyDescent="0.55000000000000004">
      <c r="A134" s="11" t="s">
        <v>147</v>
      </c>
      <c r="B134" s="7" t="s">
        <v>23</v>
      </c>
      <c r="C134" s="10">
        <v>29.41</v>
      </c>
      <c r="D134" s="10">
        <v>54.76</v>
      </c>
      <c r="E134" s="10">
        <v>0</v>
      </c>
      <c r="F134" s="10">
        <v>2.42</v>
      </c>
      <c r="G134" s="10">
        <v>0</v>
      </c>
      <c r="H134" s="10">
        <v>9.76</v>
      </c>
      <c r="I134" s="10">
        <v>3.65</v>
      </c>
      <c r="J134" s="7">
        <f t="shared" si="56"/>
        <v>6.07</v>
      </c>
      <c r="K134" s="10">
        <v>60.42</v>
      </c>
      <c r="L134" s="7">
        <v>39.58</v>
      </c>
      <c r="M134" s="10">
        <v>82569</v>
      </c>
      <c r="N134" s="10">
        <v>3134</v>
      </c>
      <c r="O134" s="7">
        <f t="shared" si="57"/>
        <v>79435</v>
      </c>
      <c r="P134" s="10">
        <f>ROUND($C134+MIN($D134:$E134)*(1-SUMIFS(PrefFlows!$C:$C,PrefFlows!$A:$A,INDEX($D$1:$E$1,MATCH(MIN($D134:$E134),$D134:$E134,0)),PrefFlows!$B:$B,$B134)),2)</f>
        <v>29.41</v>
      </c>
      <c r="Q134" s="10">
        <f>ROUND(MAX($D134:$E134)+MIN($D134:$E134)*SUMIFS(PrefFlows!$C:$C,PrefFlows!$A:$A,INDEX($D$1:$E$1,MATCH(MIN($D134:$E134),$D134:$E134,0)),PrefFlows!$B:$B,$B134),2)</f>
        <v>54.76</v>
      </c>
      <c r="R134" s="10">
        <f t="shared" si="58"/>
        <v>0</v>
      </c>
      <c r="S134" s="10">
        <f t="shared" si="59"/>
        <v>9.76</v>
      </c>
      <c r="T134" s="7">
        <f t="shared" si="60"/>
        <v>6.07</v>
      </c>
      <c r="U134" s="9">
        <f t="shared" si="61"/>
        <v>25.35</v>
      </c>
      <c r="V134" s="10">
        <f>ROUND($R134*SUMIFS(PrefFlows!$C:$C,PrefFlows!$A:$A,$R$1,PrefFlows!$B:$B,$B134)+$S134*SUMIFS(PrefFlows!$C:$C,PrefFlows!$A:$A,$S$1,PrefFlows!$B:$B,$B134)+$T134*SUMIFS(PrefFlows!$C:$C,PrefFlows!$A:$A,$T$1,PrefFlows!$B:$B,$B134),2)</f>
        <v>5.53</v>
      </c>
      <c r="W134" s="7">
        <f>ROUND($R134*(1-SUMIFS(PrefFlows!$C:$C,PrefFlows!$A:$A,$R$1,PrefFlows!$B:$B,$B134))+$S134*(1-SUMIFS(PrefFlows!$C:$C,PrefFlows!$A:$A,$S$1,PrefFlows!$B:$B,$B134))+$T134*(1-SUMIFS(PrefFlows!$C:$C,PrefFlows!$A:$A,$T$1,PrefFlows!$B:$B,$B134)),2)</f>
        <v>10.3</v>
      </c>
      <c r="X134" s="10">
        <f t="shared" si="62"/>
        <v>5.66</v>
      </c>
      <c r="Y134" s="7">
        <f t="shared" si="63"/>
        <v>10.17</v>
      </c>
      <c r="Z134" s="10">
        <f t="shared" si="64"/>
        <v>0.3493</v>
      </c>
      <c r="AA134" s="10">
        <f t="shared" si="65"/>
        <v>0.35749999999999998</v>
      </c>
      <c r="AB134" s="10">
        <f t="shared" si="66"/>
        <v>8.2000000000000007E-3</v>
      </c>
      <c r="AC134" s="7">
        <v>-1.5793934013399201E-2</v>
      </c>
      <c r="AD134" s="10">
        <f>ROUND(R134*(1-(Exhaust!$B$2+AC134)),2)</f>
        <v>0</v>
      </c>
      <c r="AE134" s="10">
        <f>ROUND(S134*(1-(Exhaust!$B$3+$AC134)),2)</f>
        <v>6.01</v>
      </c>
      <c r="AF134" s="7">
        <f>ROUND(T134*(1-(Exhaust!$B$4+$AC134)),2)</f>
        <v>3.13</v>
      </c>
      <c r="AG134" s="10">
        <f>ROUND($AD134*(SUMIFS(PrefFlows!$C:$C,PrefFlows!$A:$A,$R$1,PrefFlows!$B:$B,$B134)+$AB134)+$AE134*(SUMIFS(PrefFlows!$C:$C,PrefFlows!$A:$A,$S$1,PrefFlows!$B:$B,$B134)+$AB134)+$AF134*(SUMIFS(PrefFlows!$C:$C,PrefFlows!$A:$A,$T$1,PrefFlows!$B:$B,$B134)+$AB134),2)</f>
        <v>3.17</v>
      </c>
      <c r="AH134" s="7">
        <f>ROUND($AD134*(1-(SUMIFS(PrefFlows!$C:$C,PrefFlows!$A:$A,$R$1,PrefFlows!$B:$B,$B134)+$AB134))+$AE134*(1-(SUMIFS(PrefFlows!$C:$C,PrefFlows!$A:$A,$S$1,PrefFlows!$B:$B,$B134)+$AB134))+$AF134*(1-(SUMIFS(PrefFlows!$C:$C,PrefFlows!$A:$A,$T$1,PrefFlows!$B:$B,$B134)+$AB134)),2)</f>
        <v>5.97</v>
      </c>
      <c r="AI134" s="10">
        <f t="shared" si="67"/>
        <v>57.93</v>
      </c>
      <c r="AJ134" s="7">
        <f t="shared" si="68"/>
        <v>35.380000000000003</v>
      </c>
      <c r="AK134" s="10">
        <f t="shared" si="69"/>
        <v>62.08</v>
      </c>
      <c r="AL134" s="7">
        <f t="shared" si="69"/>
        <v>37.92</v>
      </c>
      <c r="AM134" s="1">
        <f t="shared" si="52"/>
        <v>10.42</v>
      </c>
      <c r="AN134" s="1">
        <f t="shared" si="53"/>
        <v>12.45</v>
      </c>
      <c r="AO134" s="7">
        <f t="shared" si="54"/>
        <v>12.08</v>
      </c>
      <c r="AP134" s="1" t="b">
        <f t="shared" si="70"/>
        <v>0</v>
      </c>
      <c r="AQ134" s="1" t="b">
        <f t="shared" si="70"/>
        <v>0</v>
      </c>
      <c r="AR134" s="7" t="b">
        <f t="shared" si="71"/>
        <v>0</v>
      </c>
      <c r="AS134" s="1">
        <f t="shared" si="72"/>
        <v>2.0299999999999994</v>
      </c>
      <c r="AT134" s="1">
        <f t="shared" si="72"/>
        <v>1.6600000000000001</v>
      </c>
      <c r="AU134" s="7">
        <f t="shared" si="73"/>
        <v>0.36999999999999922</v>
      </c>
      <c r="AV134" s="1">
        <f>ROUND(IF(B134="NSW",N134*Meta!$B$6,N134),1)</f>
        <v>3134</v>
      </c>
      <c r="AW134" s="7">
        <f t="shared" si="55"/>
        <v>75248.2</v>
      </c>
    </row>
    <row r="135" spans="1:49" x14ac:dyDescent="0.55000000000000004">
      <c r="A135" s="11" t="s">
        <v>148</v>
      </c>
      <c r="B135" s="7" t="s">
        <v>10</v>
      </c>
      <c r="C135" s="10">
        <v>59.02</v>
      </c>
      <c r="D135" s="10">
        <v>30.91</v>
      </c>
      <c r="E135" s="10">
        <v>0</v>
      </c>
      <c r="F135" s="10">
        <v>0</v>
      </c>
      <c r="G135" s="10">
        <v>0</v>
      </c>
      <c r="H135" s="10">
        <v>5.03</v>
      </c>
      <c r="I135" s="10">
        <v>5.04</v>
      </c>
      <c r="J135" s="7">
        <f t="shared" si="56"/>
        <v>5.04</v>
      </c>
      <c r="K135" s="10">
        <v>35.21</v>
      </c>
      <c r="L135" s="7">
        <v>64.790000000000006</v>
      </c>
      <c r="M135" s="10">
        <v>82194</v>
      </c>
      <c r="N135" s="10">
        <v>3905</v>
      </c>
      <c r="O135" s="7">
        <f t="shared" si="57"/>
        <v>78289</v>
      </c>
      <c r="P135" s="10">
        <f>ROUND($C135+MIN($D135:$E135)*(1-SUMIFS(PrefFlows!$C:$C,PrefFlows!$A:$A,INDEX($D$1:$E$1,MATCH(MIN($D135:$E135),$D135:$E135,0)),PrefFlows!$B:$B,$B135)),2)</f>
        <v>59.02</v>
      </c>
      <c r="Q135" s="10">
        <f>ROUND(MAX($D135:$E135)+MIN($D135:$E135)*SUMIFS(PrefFlows!$C:$C,PrefFlows!$A:$A,INDEX($D$1:$E$1,MATCH(MIN($D135:$E135),$D135:$E135,0)),PrefFlows!$B:$B,$B135),2)</f>
        <v>30.91</v>
      </c>
      <c r="R135" s="10">
        <f t="shared" si="58"/>
        <v>0</v>
      </c>
      <c r="S135" s="10">
        <f t="shared" si="59"/>
        <v>5.03</v>
      </c>
      <c r="T135" s="7">
        <f t="shared" si="60"/>
        <v>5.04</v>
      </c>
      <c r="U135" s="9">
        <f t="shared" si="61"/>
        <v>-28.11</v>
      </c>
      <c r="V135" s="10">
        <f>ROUND($R135*SUMIFS(PrefFlows!$C:$C,PrefFlows!$A:$A,$R$1,PrefFlows!$B:$B,$B135)+$S135*SUMIFS(PrefFlows!$C:$C,PrefFlows!$A:$A,$S$1,PrefFlows!$B:$B,$B135)+$T135*SUMIFS(PrefFlows!$C:$C,PrefFlows!$A:$A,$T$1,PrefFlows!$B:$B,$B135),2)</f>
        <v>3.5</v>
      </c>
      <c r="W135" s="7">
        <f>ROUND($R135*(1-SUMIFS(PrefFlows!$C:$C,PrefFlows!$A:$A,$R$1,PrefFlows!$B:$B,$B135))+$S135*(1-SUMIFS(PrefFlows!$C:$C,PrefFlows!$A:$A,$S$1,PrefFlows!$B:$B,$B135))+$T135*(1-SUMIFS(PrefFlows!$C:$C,PrefFlows!$A:$A,$T$1,PrefFlows!$B:$B,$B135)),2)</f>
        <v>6.57</v>
      </c>
      <c r="X135" s="10">
        <f t="shared" si="62"/>
        <v>4.3</v>
      </c>
      <c r="Y135" s="7">
        <f t="shared" si="63"/>
        <v>5.77</v>
      </c>
      <c r="Z135" s="10">
        <f t="shared" si="64"/>
        <v>0.34760000000000002</v>
      </c>
      <c r="AA135" s="10">
        <f t="shared" si="65"/>
        <v>0.42699999999999999</v>
      </c>
      <c r="AB135" s="10">
        <f t="shared" si="66"/>
        <v>7.9399999999999998E-2</v>
      </c>
      <c r="AC135" s="7">
        <v>4.4495570006224797E-2</v>
      </c>
      <c r="AD135" s="10">
        <f>ROUND(R135*(1-(Exhaust!$B$2+AC135)),2)</f>
        <v>0</v>
      </c>
      <c r="AE135" s="10">
        <f>ROUND(S135*(1-(Exhaust!$B$3+$AC135)),2)</f>
        <v>2.79</v>
      </c>
      <c r="AF135" s="7">
        <f>ROUND(T135*(1-(Exhaust!$B$4+$AC135)),2)</f>
        <v>2.2999999999999998</v>
      </c>
      <c r="AG135" s="10">
        <f>ROUND($AD135*(SUMIFS(PrefFlows!$C:$C,PrefFlows!$A:$A,$R$1,PrefFlows!$B:$B,$B135)+$AB135)+$AE135*(SUMIFS(PrefFlows!$C:$C,PrefFlows!$A:$A,$S$1,PrefFlows!$B:$B,$B135)+$AB135)+$AF135*(SUMIFS(PrefFlows!$C:$C,PrefFlows!$A:$A,$T$1,PrefFlows!$B:$B,$B135)+$AB135),2)</f>
        <v>2.08</v>
      </c>
      <c r="AH135" s="7">
        <f>ROUND($AD135*(1-(SUMIFS(PrefFlows!$C:$C,PrefFlows!$A:$A,$R$1,PrefFlows!$B:$B,$B135)+$AB135))+$AE135*(1-(SUMIFS(PrefFlows!$C:$C,PrefFlows!$A:$A,$S$1,PrefFlows!$B:$B,$B135)+$AB135))+$AF135*(1-(SUMIFS(PrefFlows!$C:$C,PrefFlows!$A:$A,$T$1,PrefFlows!$B:$B,$B135)+$AB135)),2)</f>
        <v>3.01</v>
      </c>
      <c r="AI135" s="10">
        <f t="shared" si="67"/>
        <v>32.99</v>
      </c>
      <c r="AJ135" s="7">
        <f t="shared" si="68"/>
        <v>62.03</v>
      </c>
      <c r="AK135" s="10">
        <f t="shared" si="69"/>
        <v>34.72</v>
      </c>
      <c r="AL135" s="7">
        <f t="shared" si="69"/>
        <v>65.28</v>
      </c>
      <c r="AM135" s="1">
        <f t="shared" si="52"/>
        <v>-14.79</v>
      </c>
      <c r="AN135" s="1">
        <f t="shared" si="53"/>
        <v>-15.17</v>
      </c>
      <c r="AO135" s="7">
        <f t="shared" si="54"/>
        <v>-15.28</v>
      </c>
      <c r="AP135" s="1" t="b">
        <f t="shared" si="70"/>
        <v>0</v>
      </c>
      <c r="AQ135" s="1" t="b">
        <f t="shared" si="70"/>
        <v>0</v>
      </c>
      <c r="AR135" s="7" t="b">
        <f t="shared" si="71"/>
        <v>0</v>
      </c>
      <c r="AS135" s="1">
        <f t="shared" si="72"/>
        <v>-0.38000000000000078</v>
      </c>
      <c r="AT135" s="1">
        <f t="shared" si="72"/>
        <v>-0.49000000000000021</v>
      </c>
      <c r="AU135" s="7">
        <f t="shared" si="73"/>
        <v>0.10999999999999943</v>
      </c>
      <c r="AV135" s="1">
        <f>ROUND(IF(B135="NSW",N135*Meta!$B$6,N135),1)</f>
        <v>3905</v>
      </c>
      <c r="AW135" s="7">
        <f t="shared" si="55"/>
        <v>75820.7</v>
      </c>
    </row>
    <row r="136" spans="1:49" x14ac:dyDescent="0.55000000000000004">
      <c r="A136" s="11" t="s">
        <v>149</v>
      </c>
      <c r="B136" s="7" t="s">
        <v>13</v>
      </c>
      <c r="C136" s="10">
        <v>49.91</v>
      </c>
      <c r="D136" s="10">
        <v>35.81</v>
      </c>
      <c r="E136" s="10">
        <v>0</v>
      </c>
      <c r="F136" s="10">
        <v>1.51</v>
      </c>
      <c r="G136" s="10">
        <v>2.63</v>
      </c>
      <c r="H136" s="10">
        <v>7.89</v>
      </c>
      <c r="I136" s="10">
        <v>4.88</v>
      </c>
      <c r="J136" s="7">
        <f t="shared" si="56"/>
        <v>3.76</v>
      </c>
      <c r="K136" s="10">
        <v>40.51</v>
      </c>
      <c r="L136" s="7">
        <v>59.49</v>
      </c>
      <c r="M136" s="10">
        <v>84159</v>
      </c>
      <c r="N136" s="10">
        <v>3884</v>
      </c>
      <c r="O136" s="7">
        <f t="shared" si="57"/>
        <v>80275</v>
      </c>
      <c r="P136" s="10">
        <f>ROUND($C136+MIN($D136:$E136)*(1-SUMIFS(PrefFlows!$C:$C,PrefFlows!$A:$A,INDEX($D$1:$E$1,MATCH(MIN($D136:$E136),$D136:$E136,0)),PrefFlows!$B:$B,$B136)),2)</f>
        <v>49.91</v>
      </c>
      <c r="Q136" s="10">
        <f>ROUND(MAX($D136:$E136)+MIN($D136:$E136)*SUMIFS(PrefFlows!$C:$C,PrefFlows!$A:$A,INDEX($D$1:$E$1,MATCH(MIN($D136:$E136),$D136:$E136,0)),PrefFlows!$B:$B,$B136),2)</f>
        <v>35.81</v>
      </c>
      <c r="R136" s="10">
        <f t="shared" si="58"/>
        <v>2.63</v>
      </c>
      <c r="S136" s="10">
        <f t="shared" si="59"/>
        <v>7.89</v>
      </c>
      <c r="T136" s="7">
        <f t="shared" si="60"/>
        <v>3.76</v>
      </c>
      <c r="U136" s="9">
        <f t="shared" si="61"/>
        <v>-14.1</v>
      </c>
      <c r="V136" s="10">
        <f>ROUND($R136*SUMIFS(PrefFlows!$C:$C,PrefFlows!$A:$A,$R$1,PrefFlows!$B:$B,$B136)+$S136*SUMIFS(PrefFlows!$C:$C,PrefFlows!$A:$A,$S$1,PrefFlows!$B:$B,$B136)+$T136*SUMIFS(PrefFlows!$C:$C,PrefFlows!$A:$A,$T$1,PrefFlows!$B:$B,$B136),2)</f>
        <v>4.7699999999999996</v>
      </c>
      <c r="W136" s="7">
        <f>ROUND($R136*(1-SUMIFS(PrefFlows!$C:$C,PrefFlows!$A:$A,$R$1,PrefFlows!$B:$B,$B136))+$S136*(1-SUMIFS(PrefFlows!$C:$C,PrefFlows!$A:$A,$S$1,PrefFlows!$B:$B,$B136))+$T136*(1-SUMIFS(PrefFlows!$C:$C,PrefFlows!$A:$A,$T$1,PrefFlows!$B:$B,$B136)),2)</f>
        <v>9.51</v>
      </c>
      <c r="X136" s="10">
        <f t="shared" si="62"/>
        <v>4.7</v>
      </c>
      <c r="Y136" s="7">
        <f t="shared" si="63"/>
        <v>9.58</v>
      </c>
      <c r="Z136" s="10">
        <f t="shared" si="64"/>
        <v>0.33400000000000002</v>
      </c>
      <c r="AA136" s="10">
        <f t="shared" si="65"/>
        <v>0.3291</v>
      </c>
      <c r="AB136" s="10">
        <f t="shared" si="66"/>
        <v>-4.8999999999999998E-3</v>
      </c>
      <c r="AC136" s="7">
        <v>5.0394951826591199E-2</v>
      </c>
      <c r="AD136" s="10">
        <f>ROUND(R136*(1-(Exhaust!$B$2+AC136)),2)</f>
        <v>1.02</v>
      </c>
      <c r="AE136" s="10">
        <f>ROUND(S136*(1-(Exhaust!$B$3+$AC136)),2)</f>
        <v>4.34</v>
      </c>
      <c r="AF136" s="7">
        <f>ROUND(T136*(1-(Exhaust!$B$4+$AC136)),2)</f>
        <v>1.69</v>
      </c>
      <c r="AG136" s="10">
        <f>ROUND($AD136*(SUMIFS(PrefFlows!$C:$C,PrefFlows!$A:$A,$R$1,PrefFlows!$B:$B,$B136)+$AB136)+$AE136*(SUMIFS(PrefFlows!$C:$C,PrefFlows!$A:$A,$S$1,PrefFlows!$B:$B,$B136)+$AB136)+$AF136*(SUMIFS(PrefFlows!$C:$C,PrefFlows!$A:$A,$T$1,PrefFlows!$B:$B,$B136)+$AB136),2)</f>
        <v>2.17</v>
      </c>
      <c r="AH136" s="7">
        <f>ROUND($AD136*(1-(SUMIFS(PrefFlows!$C:$C,PrefFlows!$A:$A,$R$1,PrefFlows!$B:$B,$B136)+$AB136))+$AE136*(1-(SUMIFS(PrefFlows!$C:$C,PrefFlows!$A:$A,$S$1,PrefFlows!$B:$B,$B136)+$AB136))+$AF136*(1-(SUMIFS(PrefFlows!$C:$C,PrefFlows!$A:$A,$T$1,PrefFlows!$B:$B,$B136)+$AB136)),2)</f>
        <v>4.88</v>
      </c>
      <c r="AI136" s="10">
        <f t="shared" si="67"/>
        <v>37.979999999999997</v>
      </c>
      <c r="AJ136" s="7">
        <f t="shared" si="68"/>
        <v>54.79</v>
      </c>
      <c r="AK136" s="10">
        <f t="shared" si="69"/>
        <v>40.94</v>
      </c>
      <c r="AL136" s="7">
        <f t="shared" si="69"/>
        <v>59.06</v>
      </c>
      <c r="AM136" s="1">
        <f t="shared" si="52"/>
        <v>-9.49</v>
      </c>
      <c r="AN136" s="1">
        <f t="shared" si="53"/>
        <v>-8.93</v>
      </c>
      <c r="AO136" s="7">
        <f t="shared" si="54"/>
        <v>-9.06</v>
      </c>
      <c r="AP136" s="1" t="b">
        <f t="shared" si="70"/>
        <v>0</v>
      </c>
      <c r="AQ136" s="1" t="b">
        <f t="shared" si="70"/>
        <v>0</v>
      </c>
      <c r="AR136" s="7" t="b">
        <f t="shared" si="71"/>
        <v>0</v>
      </c>
      <c r="AS136" s="1">
        <f t="shared" si="72"/>
        <v>0.5600000000000005</v>
      </c>
      <c r="AT136" s="1">
        <f t="shared" si="72"/>
        <v>0.42999999999999972</v>
      </c>
      <c r="AU136" s="7">
        <f t="shared" si="73"/>
        <v>0.13000000000000078</v>
      </c>
      <c r="AV136" s="1">
        <f>ROUND(IF(B136="NSW",N136*Meta!$B$6,N136),1)</f>
        <v>2602.3000000000002</v>
      </c>
      <c r="AW136" s="7">
        <f t="shared" si="55"/>
        <v>76590.8</v>
      </c>
    </row>
    <row r="137" spans="1:49" x14ac:dyDescent="0.55000000000000004">
      <c r="A137" s="11" t="s">
        <v>150</v>
      </c>
      <c r="B137" s="7" t="s">
        <v>104</v>
      </c>
      <c r="C137" s="10">
        <v>38.53</v>
      </c>
      <c r="D137" s="10">
        <v>48.75</v>
      </c>
      <c r="E137" s="10">
        <v>0</v>
      </c>
      <c r="F137" s="10">
        <v>1.86</v>
      </c>
      <c r="G137" s="10">
        <v>0</v>
      </c>
      <c r="H137" s="10">
        <v>6.77</v>
      </c>
      <c r="I137" s="10">
        <v>4.09</v>
      </c>
      <c r="J137" s="7">
        <f t="shared" si="56"/>
        <v>5.95</v>
      </c>
      <c r="K137" s="10">
        <v>52.81</v>
      </c>
      <c r="L137" s="7">
        <v>47.19</v>
      </c>
      <c r="M137" s="10">
        <v>49912</v>
      </c>
      <c r="N137" s="10">
        <v>1996</v>
      </c>
      <c r="O137" s="7">
        <f t="shared" si="57"/>
        <v>47916</v>
      </c>
      <c r="P137" s="10">
        <f>ROUND($C137+MIN($D137:$E137)*(1-SUMIFS(PrefFlows!$C:$C,PrefFlows!$A:$A,INDEX($D$1:$E$1,MATCH(MIN($D137:$E137),$D137:$E137,0)),PrefFlows!$B:$B,$B137)),2)</f>
        <v>38.53</v>
      </c>
      <c r="Q137" s="10">
        <f>ROUND(MAX($D137:$E137)+MIN($D137:$E137)*SUMIFS(PrefFlows!$C:$C,PrefFlows!$A:$A,INDEX($D$1:$E$1,MATCH(MIN($D137:$E137),$D137:$E137,0)),PrefFlows!$B:$B,$B137),2)</f>
        <v>48.75</v>
      </c>
      <c r="R137" s="10">
        <f t="shared" si="58"/>
        <v>0</v>
      </c>
      <c r="S137" s="10">
        <f t="shared" si="59"/>
        <v>6.77</v>
      </c>
      <c r="T137" s="7">
        <f t="shared" si="60"/>
        <v>5.95</v>
      </c>
      <c r="U137" s="9">
        <f t="shared" si="61"/>
        <v>10.220000000000001</v>
      </c>
      <c r="V137" s="10">
        <f>ROUND($R137*SUMIFS(PrefFlows!$C:$C,PrefFlows!$A:$A,$R$1,PrefFlows!$B:$B,$B137)+$S137*SUMIFS(PrefFlows!$C:$C,PrefFlows!$A:$A,$S$1,PrefFlows!$B:$B,$B137)+$T137*SUMIFS(PrefFlows!$C:$C,PrefFlows!$A:$A,$T$1,PrefFlows!$B:$B,$B137),2)</f>
        <v>4.46</v>
      </c>
      <c r="W137" s="7">
        <f>ROUND($R137*(1-SUMIFS(PrefFlows!$C:$C,PrefFlows!$A:$A,$R$1,PrefFlows!$B:$B,$B137))+$S137*(1-SUMIFS(PrefFlows!$C:$C,PrefFlows!$A:$A,$S$1,PrefFlows!$B:$B,$B137))+$T137*(1-SUMIFS(PrefFlows!$C:$C,PrefFlows!$A:$A,$T$1,PrefFlows!$B:$B,$B137)),2)</f>
        <v>8.26</v>
      </c>
      <c r="X137" s="10">
        <f t="shared" si="62"/>
        <v>4.0599999999999996</v>
      </c>
      <c r="Y137" s="7">
        <f t="shared" si="63"/>
        <v>8.66</v>
      </c>
      <c r="Z137" s="10">
        <f t="shared" si="64"/>
        <v>0.35060000000000002</v>
      </c>
      <c r="AA137" s="10">
        <f t="shared" si="65"/>
        <v>0.31919999999999998</v>
      </c>
      <c r="AB137" s="10">
        <f t="shared" si="66"/>
        <v>-3.1399999999999997E-2</v>
      </c>
      <c r="AC137" s="7">
        <v>-5.4439603069799301E-2</v>
      </c>
      <c r="AD137" s="10">
        <f>ROUND(R137*(1-(Exhaust!$B$2+AC137)),2)</f>
        <v>0</v>
      </c>
      <c r="AE137" s="10">
        <f>ROUND(S137*(1-(Exhaust!$B$3+$AC137)),2)</f>
        <v>4.43</v>
      </c>
      <c r="AF137" s="7">
        <f>ROUND(T137*(1-(Exhaust!$B$4+$AC137)),2)</f>
        <v>3.3</v>
      </c>
      <c r="AG137" s="10">
        <f>ROUND($AD137*(SUMIFS(PrefFlows!$C:$C,PrefFlows!$A:$A,$R$1,PrefFlows!$B:$B,$B137)+$AB137)+$AE137*(SUMIFS(PrefFlows!$C:$C,PrefFlows!$A:$A,$S$1,PrefFlows!$B:$B,$B137)+$AB137)+$AF137*(SUMIFS(PrefFlows!$C:$C,PrefFlows!$A:$A,$T$1,PrefFlows!$B:$B,$B137)+$AB137),2)</f>
        <v>2.36</v>
      </c>
      <c r="AH137" s="7">
        <f>ROUND($AD137*(1-(SUMIFS(PrefFlows!$C:$C,PrefFlows!$A:$A,$R$1,PrefFlows!$B:$B,$B137)+$AB137))+$AE137*(1-(SUMIFS(PrefFlows!$C:$C,PrefFlows!$A:$A,$S$1,PrefFlows!$B:$B,$B137)+$AB137))+$AF137*(1-(SUMIFS(PrefFlows!$C:$C,PrefFlows!$A:$A,$T$1,PrefFlows!$B:$B,$B137)+$AB137)),2)</f>
        <v>5.37</v>
      </c>
      <c r="AI137" s="10">
        <f t="shared" si="67"/>
        <v>51.11</v>
      </c>
      <c r="AJ137" s="7">
        <f t="shared" si="68"/>
        <v>43.9</v>
      </c>
      <c r="AK137" s="10">
        <f t="shared" si="69"/>
        <v>53.79</v>
      </c>
      <c r="AL137" s="7">
        <f t="shared" si="69"/>
        <v>46.21</v>
      </c>
      <c r="AM137" s="1">
        <f t="shared" si="52"/>
        <v>2.81</v>
      </c>
      <c r="AN137" s="1">
        <f t="shared" si="53"/>
        <v>4.17</v>
      </c>
      <c r="AO137" s="7">
        <f t="shared" si="54"/>
        <v>3.79</v>
      </c>
      <c r="AP137" s="1" t="b">
        <f t="shared" si="70"/>
        <v>0</v>
      </c>
      <c r="AQ137" s="1" t="b">
        <f t="shared" si="70"/>
        <v>0</v>
      </c>
      <c r="AR137" s="7" t="b">
        <f t="shared" si="71"/>
        <v>0</v>
      </c>
      <c r="AS137" s="1">
        <f t="shared" si="72"/>
        <v>1.3599999999999999</v>
      </c>
      <c r="AT137" s="1">
        <f t="shared" si="72"/>
        <v>0.98</v>
      </c>
      <c r="AU137" s="7">
        <f t="shared" si="73"/>
        <v>0.37999999999999989</v>
      </c>
      <c r="AV137" s="1">
        <f>ROUND(IF(B137="NSW",N137*Meta!$B$6,N137),1)</f>
        <v>1996</v>
      </c>
      <c r="AW137" s="7">
        <f t="shared" si="55"/>
        <v>46256.1</v>
      </c>
    </row>
    <row r="138" spans="1:49" x14ac:dyDescent="0.55000000000000004">
      <c r="A138" s="11" t="s">
        <v>151</v>
      </c>
      <c r="B138" s="7" t="s">
        <v>31</v>
      </c>
      <c r="C138" s="10">
        <v>38.94</v>
      </c>
      <c r="D138" s="10">
        <v>47.26</v>
      </c>
      <c r="E138" s="10">
        <v>0</v>
      </c>
      <c r="F138" s="10">
        <v>1.46</v>
      </c>
      <c r="G138" s="10">
        <v>1.47</v>
      </c>
      <c r="H138" s="10">
        <v>7.15</v>
      </c>
      <c r="I138" s="10">
        <v>5.19</v>
      </c>
      <c r="J138" s="7">
        <f t="shared" si="56"/>
        <v>5.18</v>
      </c>
      <c r="K138" s="10">
        <v>52.04</v>
      </c>
      <c r="L138" s="7">
        <v>47.96</v>
      </c>
      <c r="M138" s="10">
        <v>80831</v>
      </c>
      <c r="N138" s="10">
        <v>4785</v>
      </c>
      <c r="O138" s="7">
        <f t="shared" si="57"/>
        <v>76046</v>
      </c>
      <c r="P138" s="10">
        <f>ROUND($C138+MIN($D138:$E138)*(1-SUMIFS(PrefFlows!$C:$C,PrefFlows!$A:$A,INDEX($D$1:$E$1,MATCH(MIN($D138:$E138),$D138:$E138,0)),PrefFlows!$B:$B,$B138)),2)</f>
        <v>38.94</v>
      </c>
      <c r="Q138" s="10">
        <f>ROUND(MAX($D138:$E138)+MIN($D138:$E138)*SUMIFS(PrefFlows!$C:$C,PrefFlows!$A:$A,INDEX($D$1:$E$1,MATCH(MIN($D138:$E138),$D138:$E138,0)),PrefFlows!$B:$B,$B138),2)</f>
        <v>47.26</v>
      </c>
      <c r="R138" s="10">
        <f t="shared" si="58"/>
        <v>1.47</v>
      </c>
      <c r="S138" s="10">
        <f t="shared" si="59"/>
        <v>7.15</v>
      </c>
      <c r="T138" s="7">
        <f t="shared" si="60"/>
        <v>5.18</v>
      </c>
      <c r="U138" s="9">
        <f t="shared" si="61"/>
        <v>8.32</v>
      </c>
      <c r="V138" s="10">
        <f>ROUND($R138*SUMIFS(PrefFlows!$C:$C,PrefFlows!$A:$A,$R$1,PrefFlows!$B:$B,$B138)+$S138*SUMIFS(PrefFlows!$C:$C,PrefFlows!$A:$A,$S$1,PrefFlows!$B:$B,$B138)+$T138*SUMIFS(PrefFlows!$C:$C,PrefFlows!$A:$A,$T$1,PrefFlows!$B:$B,$B138),2)</f>
        <v>5.14</v>
      </c>
      <c r="W138" s="7">
        <f>ROUND($R138*(1-SUMIFS(PrefFlows!$C:$C,PrefFlows!$A:$A,$R$1,PrefFlows!$B:$B,$B138))+$S138*(1-SUMIFS(PrefFlows!$C:$C,PrefFlows!$A:$A,$S$1,PrefFlows!$B:$B,$B138))+$T138*(1-SUMIFS(PrefFlows!$C:$C,PrefFlows!$A:$A,$T$1,PrefFlows!$B:$B,$B138)),2)</f>
        <v>8.66</v>
      </c>
      <c r="X138" s="10">
        <f t="shared" si="62"/>
        <v>4.78</v>
      </c>
      <c r="Y138" s="7">
        <f t="shared" si="63"/>
        <v>9.02</v>
      </c>
      <c r="Z138" s="10">
        <f t="shared" si="64"/>
        <v>0.3725</v>
      </c>
      <c r="AA138" s="10">
        <f t="shared" si="65"/>
        <v>0.34639999999999999</v>
      </c>
      <c r="AB138" s="10">
        <f t="shared" si="66"/>
        <v>-2.6100000000000002E-2</v>
      </c>
      <c r="AC138" s="7">
        <v>1.28973196585447E-4</v>
      </c>
      <c r="AD138" s="10">
        <f>ROUND(R138*(1-(Exhaust!$B$2+AC138)),2)</f>
        <v>0.65</v>
      </c>
      <c r="AE138" s="10">
        <f>ROUND(S138*(1-(Exhaust!$B$3+$AC138)),2)</f>
        <v>4.29</v>
      </c>
      <c r="AF138" s="7">
        <f>ROUND(T138*(1-(Exhaust!$B$4+$AC138)),2)</f>
        <v>2.59</v>
      </c>
      <c r="AG138" s="10">
        <f>ROUND($AD138*(SUMIFS(PrefFlows!$C:$C,PrefFlows!$A:$A,$R$1,PrefFlows!$B:$B,$B138)+$AB138)+$AE138*(SUMIFS(PrefFlows!$C:$C,PrefFlows!$A:$A,$S$1,PrefFlows!$B:$B,$B138)+$AB138)+$AF138*(SUMIFS(PrefFlows!$C:$C,PrefFlows!$A:$A,$T$1,PrefFlows!$B:$B,$B138)+$AB138),2)</f>
        <v>2.4900000000000002</v>
      </c>
      <c r="AH138" s="7">
        <f>ROUND($AD138*(1-(SUMIFS(PrefFlows!$C:$C,PrefFlows!$A:$A,$R$1,PrefFlows!$B:$B,$B138)+$AB138))+$AE138*(1-(SUMIFS(PrefFlows!$C:$C,PrefFlows!$A:$A,$S$1,PrefFlows!$B:$B,$B138)+$AB138))+$AF138*(1-(SUMIFS(PrefFlows!$C:$C,PrefFlows!$A:$A,$T$1,PrefFlows!$B:$B,$B138)+$AB138)),2)</f>
        <v>5.04</v>
      </c>
      <c r="AI138" s="10">
        <f t="shared" si="67"/>
        <v>49.75</v>
      </c>
      <c r="AJ138" s="7">
        <f t="shared" si="68"/>
        <v>43.98</v>
      </c>
      <c r="AK138" s="10">
        <f t="shared" si="69"/>
        <v>53.08</v>
      </c>
      <c r="AL138" s="7">
        <f t="shared" si="69"/>
        <v>46.92</v>
      </c>
      <c r="AM138" s="1">
        <f t="shared" si="52"/>
        <v>2.04</v>
      </c>
      <c r="AN138" s="1">
        <f t="shared" si="53"/>
        <v>3.27</v>
      </c>
      <c r="AO138" s="7">
        <f t="shared" si="54"/>
        <v>3.08</v>
      </c>
      <c r="AP138" s="1" t="b">
        <f t="shared" si="70"/>
        <v>0</v>
      </c>
      <c r="AQ138" s="1" t="b">
        <f t="shared" si="70"/>
        <v>0</v>
      </c>
      <c r="AR138" s="7" t="b">
        <f t="shared" si="71"/>
        <v>0</v>
      </c>
      <c r="AS138" s="1">
        <f t="shared" si="72"/>
        <v>1.23</v>
      </c>
      <c r="AT138" s="1">
        <f t="shared" si="72"/>
        <v>1.04</v>
      </c>
      <c r="AU138" s="7">
        <f t="shared" si="73"/>
        <v>0.18999999999999995</v>
      </c>
      <c r="AV138" s="1">
        <f>ROUND(IF(B138="NSW",N138*Meta!$B$6,N138),1)</f>
        <v>4785</v>
      </c>
      <c r="AW138" s="7">
        <f t="shared" si="55"/>
        <v>73006.899999999994</v>
      </c>
    </row>
    <row r="139" spans="1:49" x14ac:dyDescent="0.55000000000000004">
      <c r="A139" s="11" t="s">
        <v>152</v>
      </c>
      <c r="B139" s="7" t="s">
        <v>8</v>
      </c>
      <c r="C139" s="10">
        <v>34.549999999999997</v>
      </c>
      <c r="D139" s="10">
        <v>51.66</v>
      </c>
      <c r="E139" s="10">
        <v>0</v>
      </c>
      <c r="F139" s="10">
        <v>2.2599999999999998</v>
      </c>
      <c r="G139" s="10">
        <v>0.69</v>
      </c>
      <c r="H139" s="10">
        <v>6.06</v>
      </c>
      <c r="I139" s="10">
        <v>5.47</v>
      </c>
      <c r="J139" s="7">
        <f t="shared" si="56"/>
        <v>7.04</v>
      </c>
      <c r="K139" s="10">
        <v>56.8</v>
      </c>
      <c r="L139" s="7">
        <v>43.2</v>
      </c>
      <c r="M139" s="10">
        <v>91743</v>
      </c>
      <c r="N139" s="10">
        <v>4624</v>
      </c>
      <c r="O139" s="7">
        <f t="shared" si="57"/>
        <v>87119</v>
      </c>
      <c r="P139" s="10">
        <f>ROUND($C139+MIN($D139:$E139)*(1-SUMIFS(PrefFlows!$C:$C,PrefFlows!$A:$A,INDEX($D$1:$E$1,MATCH(MIN($D139:$E139),$D139:$E139,0)),PrefFlows!$B:$B,$B139)),2)</f>
        <v>34.549999999999997</v>
      </c>
      <c r="Q139" s="10">
        <f>ROUND(MAX($D139:$E139)+MIN($D139:$E139)*SUMIFS(PrefFlows!$C:$C,PrefFlows!$A:$A,INDEX($D$1:$E$1,MATCH(MIN($D139:$E139),$D139:$E139,0)),PrefFlows!$B:$B,$B139),2)</f>
        <v>51.66</v>
      </c>
      <c r="R139" s="10">
        <f t="shared" si="58"/>
        <v>0.69</v>
      </c>
      <c r="S139" s="10">
        <f t="shared" si="59"/>
        <v>6.06</v>
      </c>
      <c r="T139" s="7">
        <f t="shared" si="60"/>
        <v>7.04</v>
      </c>
      <c r="U139" s="9">
        <f t="shared" si="61"/>
        <v>17.11</v>
      </c>
      <c r="V139" s="10">
        <f>ROUND($R139*SUMIFS(PrefFlows!$C:$C,PrefFlows!$A:$A,$R$1,PrefFlows!$B:$B,$B139)+$S139*SUMIFS(PrefFlows!$C:$C,PrefFlows!$A:$A,$S$1,PrefFlows!$B:$B,$B139)+$T139*SUMIFS(PrefFlows!$C:$C,PrefFlows!$A:$A,$T$1,PrefFlows!$B:$B,$B139),2)</f>
        <v>5.25</v>
      </c>
      <c r="W139" s="7">
        <f>ROUND($R139*(1-SUMIFS(PrefFlows!$C:$C,PrefFlows!$A:$A,$R$1,PrefFlows!$B:$B,$B139))+$S139*(1-SUMIFS(PrefFlows!$C:$C,PrefFlows!$A:$A,$S$1,PrefFlows!$B:$B,$B139))+$T139*(1-SUMIFS(PrefFlows!$C:$C,PrefFlows!$A:$A,$T$1,PrefFlows!$B:$B,$B139)),2)</f>
        <v>8.5399999999999991</v>
      </c>
      <c r="X139" s="10">
        <f t="shared" si="62"/>
        <v>5.14</v>
      </c>
      <c r="Y139" s="7">
        <f t="shared" si="63"/>
        <v>8.65</v>
      </c>
      <c r="Z139" s="10">
        <f t="shared" si="64"/>
        <v>0.38069999999999998</v>
      </c>
      <c r="AA139" s="10">
        <f t="shared" si="65"/>
        <v>0.37269999999999998</v>
      </c>
      <c r="AB139" s="10">
        <f t="shared" si="66"/>
        <v>-8.0000000000000002E-3</v>
      </c>
      <c r="AC139" s="7">
        <v>-2.61377745443289E-2</v>
      </c>
      <c r="AD139" s="10">
        <f>ROUND(R139*(1-(Exhaust!$B$2+AC139)),2)</f>
        <v>0.32</v>
      </c>
      <c r="AE139" s="10">
        <f>ROUND(S139*(1-(Exhaust!$B$3+$AC139)),2)</f>
        <v>3.79</v>
      </c>
      <c r="AF139" s="7">
        <f>ROUND(T139*(1-(Exhaust!$B$4+$AC139)),2)</f>
        <v>3.7</v>
      </c>
      <c r="AG139" s="10">
        <f>ROUND($AD139*(SUMIFS(PrefFlows!$C:$C,PrefFlows!$A:$A,$R$1,PrefFlows!$B:$B,$B139)+$AB139)+$AE139*(SUMIFS(PrefFlows!$C:$C,PrefFlows!$A:$A,$S$1,PrefFlows!$B:$B,$B139)+$AB139)+$AF139*(SUMIFS(PrefFlows!$C:$C,PrefFlows!$A:$A,$T$1,PrefFlows!$B:$B,$B139)+$AB139),2)</f>
        <v>2.8</v>
      </c>
      <c r="AH139" s="7">
        <f>ROUND($AD139*(1-(SUMIFS(PrefFlows!$C:$C,PrefFlows!$A:$A,$R$1,PrefFlows!$B:$B,$B139)+$AB139))+$AE139*(1-(SUMIFS(PrefFlows!$C:$C,PrefFlows!$A:$A,$S$1,PrefFlows!$B:$B,$B139)+$AB139))+$AF139*(1-(SUMIFS(PrefFlows!$C:$C,PrefFlows!$A:$A,$T$1,PrefFlows!$B:$B,$B139)+$AB139)),2)</f>
        <v>5.01</v>
      </c>
      <c r="AI139" s="10">
        <f t="shared" si="67"/>
        <v>54.46</v>
      </c>
      <c r="AJ139" s="7">
        <f t="shared" si="68"/>
        <v>39.56</v>
      </c>
      <c r="AK139" s="10">
        <f t="shared" si="69"/>
        <v>57.92</v>
      </c>
      <c r="AL139" s="7">
        <f t="shared" si="69"/>
        <v>42.08</v>
      </c>
      <c r="AM139" s="1">
        <f t="shared" si="52"/>
        <v>6.8</v>
      </c>
      <c r="AN139" s="1">
        <f t="shared" si="53"/>
        <v>8.18</v>
      </c>
      <c r="AO139" s="7">
        <f t="shared" si="54"/>
        <v>7.92</v>
      </c>
      <c r="AP139" s="1" t="b">
        <f t="shared" si="70"/>
        <v>0</v>
      </c>
      <c r="AQ139" s="1" t="b">
        <f t="shared" si="70"/>
        <v>0</v>
      </c>
      <c r="AR139" s="7" t="b">
        <f t="shared" si="71"/>
        <v>0</v>
      </c>
      <c r="AS139" s="1">
        <f t="shared" si="72"/>
        <v>1.38</v>
      </c>
      <c r="AT139" s="1">
        <f t="shared" si="72"/>
        <v>1.1200000000000001</v>
      </c>
      <c r="AU139" s="7">
        <f t="shared" si="73"/>
        <v>0.25999999999999979</v>
      </c>
      <c r="AV139" s="1">
        <f>ROUND(IF(B139="NSW",N139*Meta!$B$6,N139),1)</f>
        <v>4624</v>
      </c>
      <c r="AW139" s="7">
        <f t="shared" si="55"/>
        <v>83585.3</v>
      </c>
    </row>
    <row r="140" spans="1:49" x14ac:dyDescent="0.55000000000000004">
      <c r="A140" s="11" t="s">
        <v>153</v>
      </c>
      <c r="B140" s="7" t="s">
        <v>31</v>
      </c>
      <c r="C140" s="10">
        <v>39.92</v>
      </c>
      <c r="D140" s="10">
        <v>44.14</v>
      </c>
      <c r="E140" s="10">
        <v>0</v>
      </c>
      <c r="F140" s="10">
        <v>1.63</v>
      </c>
      <c r="G140" s="10">
        <v>1.78</v>
      </c>
      <c r="H140" s="10">
        <v>8.2899999999999991</v>
      </c>
      <c r="I140" s="10">
        <v>6.02</v>
      </c>
      <c r="J140" s="7">
        <f t="shared" si="56"/>
        <v>5.87</v>
      </c>
      <c r="K140" s="10">
        <v>49.92</v>
      </c>
      <c r="L140" s="7">
        <v>50.08</v>
      </c>
      <c r="M140" s="10">
        <v>73330</v>
      </c>
      <c r="N140" s="10">
        <v>4006</v>
      </c>
      <c r="O140" s="7">
        <f t="shared" si="57"/>
        <v>69324</v>
      </c>
      <c r="P140" s="10">
        <f>ROUND($C140+MIN($D140:$E140)*(1-SUMIFS(PrefFlows!$C:$C,PrefFlows!$A:$A,INDEX($D$1:$E$1,MATCH(MIN($D140:$E140),$D140:$E140,0)),PrefFlows!$B:$B,$B140)),2)</f>
        <v>39.92</v>
      </c>
      <c r="Q140" s="10">
        <f>ROUND(MAX($D140:$E140)+MIN($D140:$E140)*SUMIFS(PrefFlows!$C:$C,PrefFlows!$A:$A,INDEX($D$1:$E$1,MATCH(MIN($D140:$E140),$D140:$E140,0)),PrefFlows!$B:$B,$B140),2)</f>
        <v>44.14</v>
      </c>
      <c r="R140" s="10">
        <f t="shared" si="58"/>
        <v>1.78</v>
      </c>
      <c r="S140" s="10">
        <f t="shared" si="59"/>
        <v>8.2899999999999991</v>
      </c>
      <c r="T140" s="7">
        <f t="shared" si="60"/>
        <v>5.87</v>
      </c>
      <c r="U140" s="9">
        <f t="shared" si="61"/>
        <v>4.22</v>
      </c>
      <c r="V140" s="10">
        <f>ROUND($R140*SUMIFS(PrefFlows!$C:$C,PrefFlows!$A:$A,$R$1,PrefFlows!$B:$B,$B140)+$S140*SUMIFS(PrefFlows!$C:$C,PrefFlows!$A:$A,$S$1,PrefFlows!$B:$B,$B140)+$T140*SUMIFS(PrefFlows!$C:$C,PrefFlows!$A:$A,$T$1,PrefFlows!$B:$B,$B140),2)</f>
        <v>5.93</v>
      </c>
      <c r="W140" s="7">
        <f>ROUND($R140*(1-SUMIFS(PrefFlows!$C:$C,PrefFlows!$A:$A,$R$1,PrefFlows!$B:$B,$B140))+$S140*(1-SUMIFS(PrefFlows!$C:$C,PrefFlows!$A:$A,$S$1,PrefFlows!$B:$B,$B140))+$T140*(1-SUMIFS(PrefFlows!$C:$C,PrefFlows!$A:$A,$T$1,PrefFlows!$B:$B,$B140)),2)</f>
        <v>10.01</v>
      </c>
      <c r="X140" s="10">
        <f t="shared" si="62"/>
        <v>5.78</v>
      </c>
      <c r="Y140" s="7">
        <f t="shared" si="63"/>
        <v>10.16</v>
      </c>
      <c r="Z140" s="10">
        <f t="shared" si="64"/>
        <v>0.372</v>
      </c>
      <c r="AA140" s="10">
        <f t="shared" si="65"/>
        <v>0.36259999999999998</v>
      </c>
      <c r="AB140" s="10">
        <f t="shared" si="66"/>
        <v>-9.4000000000000004E-3</v>
      </c>
      <c r="AC140" s="7">
        <v>-4.8672068046853303E-3</v>
      </c>
      <c r="AD140" s="10">
        <f>ROUND(R140*(1-(Exhaust!$B$2+AC140)),2)</f>
        <v>0.79</v>
      </c>
      <c r="AE140" s="10">
        <f>ROUND(S140*(1-(Exhaust!$B$3+$AC140)),2)</f>
        <v>5.01</v>
      </c>
      <c r="AF140" s="7">
        <f>ROUND(T140*(1-(Exhaust!$B$4+$AC140)),2)</f>
        <v>2.96</v>
      </c>
      <c r="AG140" s="10">
        <f>ROUND($AD140*(SUMIFS(PrefFlows!$C:$C,PrefFlows!$A:$A,$R$1,PrefFlows!$B:$B,$B140)+$AB140)+$AE140*(SUMIFS(PrefFlows!$C:$C,PrefFlows!$A:$A,$S$1,PrefFlows!$B:$B,$B140)+$AB140)+$AF140*(SUMIFS(PrefFlows!$C:$C,PrefFlows!$A:$A,$T$1,PrefFlows!$B:$B,$B140)+$AB140),2)</f>
        <v>3.03</v>
      </c>
      <c r="AH140" s="7">
        <f>ROUND($AD140*(1-(SUMIFS(PrefFlows!$C:$C,PrefFlows!$A:$A,$R$1,PrefFlows!$B:$B,$B140)+$AB140))+$AE140*(1-(SUMIFS(PrefFlows!$C:$C,PrefFlows!$A:$A,$S$1,PrefFlows!$B:$B,$B140)+$AB140))+$AF140*(1-(SUMIFS(PrefFlows!$C:$C,PrefFlows!$A:$A,$T$1,PrefFlows!$B:$B,$B140)+$AB140)),2)</f>
        <v>5.73</v>
      </c>
      <c r="AI140" s="10">
        <f t="shared" si="67"/>
        <v>47.17</v>
      </c>
      <c r="AJ140" s="7">
        <f t="shared" si="68"/>
        <v>45.65</v>
      </c>
      <c r="AK140" s="10">
        <f t="shared" si="69"/>
        <v>50.82</v>
      </c>
      <c r="AL140" s="7">
        <f t="shared" si="69"/>
        <v>49.18</v>
      </c>
      <c r="AM140" s="1">
        <f t="shared" si="52"/>
        <v>-0.08</v>
      </c>
      <c r="AN140" s="1">
        <f t="shared" si="53"/>
        <v>1.05</v>
      </c>
      <c r="AO140" s="7">
        <f t="shared" si="54"/>
        <v>0.82</v>
      </c>
      <c r="AP140" s="1" t="b">
        <f t="shared" si="70"/>
        <v>1</v>
      </c>
      <c r="AQ140" s="1" t="b">
        <f t="shared" si="70"/>
        <v>1</v>
      </c>
      <c r="AR140" s="7" t="b">
        <f t="shared" si="71"/>
        <v>0</v>
      </c>
      <c r="AS140" s="1">
        <f t="shared" si="72"/>
        <v>1.1300000000000001</v>
      </c>
      <c r="AT140" s="1">
        <f t="shared" si="72"/>
        <v>0.89999999999999991</v>
      </c>
      <c r="AU140" s="7">
        <f t="shared" si="73"/>
        <v>0.23000000000000009</v>
      </c>
      <c r="AV140" s="1">
        <f>ROUND(IF(B140="NSW",N140*Meta!$B$6,N140),1)</f>
        <v>4006</v>
      </c>
      <c r="AW140" s="7">
        <f t="shared" si="55"/>
        <v>65780</v>
      </c>
    </row>
    <row r="141" spans="1:49" x14ac:dyDescent="0.55000000000000004">
      <c r="A141" s="11" t="s">
        <v>154</v>
      </c>
      <c r="B141" s="7" t="s">
        <v>13</v>
      </c>
      <c r="C141" s="10">
        <v>44.68</v>
      </c>
      <c r="D141" s="10">
        <v>28.46</v>
      </c>
      <c r="E141" s="10">
        <v>0</v>
      </c>
      <c r="F141" s="10">
        <v>2.0699999999999998</v>
      </c>
      <c r="G141" s="10">
        <v>0</v>
      </c>
      <c r="H141" s="10">
        <v>21.61</v>
      </c>
      <c r="I141" s="10">
        <v>3.18</v>
      </c>
      <c r="J141" s="7">
        <f t="shared" si="56"/>
        <v>5.25</v>
      </c>
      <c r="K141" s="10">
        <v>33.58</v>
      </c>
      <c r="L141" s="7">
        <v>66.42</v>
      </c>
      <c r="M141" s="10">
        <v>86883</v>
      </c>
      <c r="N141" s="10">
        <v>4600</v>
      </c>
      <c r="O141" s="7">
        <f t="shared" si="57"/>
        <v>82283</v>
      </c>
      <c r="P141" s="10">
        <f>ROUND($C141+MIN($D141:$E141)*(1-SUMIFS(PrefFlows!$C:$C,PrefFlows!$A:$A,INDEX($D$1:$E$1,MATCH(MIN($D141:$E141),$D141:$E141,0)),PrefFlows!$B:$B,$B141)),2)</f>
        <v>44.68</v>
      </c>
      <c r="Q141" s="10">
        <f>ROUND(MAX($D141:$E141)+MIN($D141:$E141)*SUMIFS(PrefFlows!$C:$C,PrefFlows!$A:$A,INDEX($D$1:$E$1,MATCH(MIN($D141:$E141),$D141:$E141,0)),PrefFlows!$B:$B,$B141),2)</f>
        <v>28.46</v>
      </c>
      <c r="R141" s="10">
        <f t="shared" si="58"/>
        <v>0</v>
      </c>
      <c r="S141" s="10">
        <f t="shared" si="59"/>
        <v>21.61</v>
      </c>
      <c r="T141" s="7">
        <f t="shared" si="60"/>
        <v>5.25</v>
      </c>
      <c r="U141" s="9">
        <f t="shared" si="61"/>
        <v>-16.22</v>
      </c>
      <c r="V141" s="10">
        <f>ROUND($R141*SUMIFS(PrefFlows!$C:$C,PrefFlows!$A:$A,$R$1,PrefFlows!$B:$B,$B141)+$S141*SUMIFS(PrefFlows!$C:$C,PrefFlows!$A:$A,$S$1,PrefFlows!$B:$B,$B141)+$T141*SUMIFS(PrefFlows!$C:$C,PrefFlows!$A:$A,$T$1,PrefFlows!$B:$B,$B141),2)</f>
        <v>6.58</v>
      </c>
      <c r="W141" s="7">
        <f>ROUND($R141*(1-SUMIFS(PrefFlows!$C:$C,PrefFlows!$A:$A,$R$1,PrefFlows!$B:$B,$B141))+$S141*(1-SUMIFS(PrefFlows!$C:$C,PrefFlows!$A:$A,$S$1,PrefFlows!$B:$B,$B141))+$T141*(1-SUMIFS(PrefFlows!$C:$C,PrefFlows!$A:$A,$T$1,PrefFlows!$B:$B,$B141)),2)</f>
        <v>20.28</v>
      </c>
      <c r="X141" s="10">
        <f t="shared" si="62"/>
        <v>5.12</v>
      </c>
      <c r="Y141" s="7">
        <f t="shared" si="63"/>
        <v>21.74</v>
      </c>
      <c r="Z141" s="10">
        <f t="shared" si="64"/>
        <v>0.245</v>
      </c>
      <c r="AA141" s="10">
        <f t="shared" si="65"/>
        <v>0.19059999999999999</v>
      </c>
      <c r="AB141" s="10">
        <f t="shared" si="66"/>
        <v>-5.4399999999999997E-2</v>
      </c>
      <c r="AC141" s="7">
        <v>1.61462218249806E-2</v>
      </c>
      <c r="AD141" s="10">
        <f>ROUND(R141*(1-(Exhaust!$B$2+AC141)),2)</f>
        <v>0</v>
      </c>
      <c r="AE141" s="10">
        <f>ROUND(S141*(1-(Exhaust!$B$3+$AC141)),2)</f>
        <v>12.62</v>
      </c>
      <c r="AF141" s="7">
        <f>ROUND(T141*(1-(Exhaust!$B$4+$AC141)),2)</f>
        <v>2.54</v>
      </c>
      <c r="AG141" s="10">
        <f>ROUND($AD141*(SUMIFS(PrefFlows!$C:$C,PrefFlows!$A:$A,$R$1,PrefFlows!$B:$B,$B141)+$AB141)+$AE141*(SUMIFS(PrefFlows!$C:$C,PrefFlows!$A:$A,$S$1,PrefFlows!$B:$B,$B141)+$AB141)+$AF141*(SUMIFS(PrefFlows!$C:$C,PrefFlows!$A:$A,$T$1,PrefFlows!$B:$B,$B141)+$AB141),2)</f>
        <v>2.74</v>
      </c>
      <c r="AH141" s="7">
        <f>ROUND($AD141*(1-(SUMIFS(PrefFlows!$C:$C,PrefFlows!$A:$A,$R$1,PrefFlows!$B:$B,$B141)+$AB141))+$AE141*(1-(SUMIFS(PrefFlows!$C:$C,PrefFlows!$A:$A,$S$1,PrefFlows!$B:$B,$B141)+$AB141))+$AF141*(1-(SUMIFS(PrefFlows!$C:$C,PrefFlows!$A:$A,$T$1,PrefFlows!$B:$B,$B141)+$AB141)),2)</f>
        <v>12.42</v>
      </c>
      <c r="AI141" s="10">
        <f t="shared" si="67"/>
        <v>31.2</v>
      </c>
      <c r="AJ141" s="7">
        <f t="shared" si="68"/>
        <v>57.1</v>
      </c>
      <c r="AK141" s="10">
        <f t="shared" si="69"/>
        <v>35.33</v>
      </c>
      <c r="AL141" s="7">
        <f t="shared" si="69"/>
        <v>64.67</v>
      </c>
      <c r="AM141" s="1">
        <f t="shared" si="52"/>
        <v>-16.420000000000002</v>
      </c>
      <c r="AN141" s="1">
        <f t="shared" si="53"/>
        <v>-14.27</v>
      </c>
      <c r="AO141" s="7">
        <f t="shared" si="54"/>
        <v>-14.67</v>
      </c>
      <c r="AP141" s="1" t="b">
        <f t="shared" si="70"/>
        <v>0</v>
      </c>
      <c r="AQ141" s="1" t="b">
        <f t="shared" si="70"/>
        <v>0</v>
      </c>
      <c r="AR141" s="7" t="b">
        <f t="shared" si="71"/>
        <v>0</v>
      </c>
      <c r="AS141" s="1">
        <f t="shared" si="72"/>
        <v>2.1500000000000021</v>
      </c>
      <c r="AT141" s="1">
        <f t="shared" si="72"/>
        <v>1.7500000000000018</v>
      </c>
      <c r="AU141" s="7">
        <f t="shared" si="73"/>
        <v>0.40000000000000036</v>
      </c>
      <c r="AV141" s="1">
        <f>ROUND(IF(B141="NSW",N141*Meta!$B$6,N141),1)</f>
        <v>3082</v>
      </c>
      <c r="AW141" s="7">
        <f t="shared" si="55"/>
        <v>75045.399999999994</v>
      </c>
    </row>
    <row r="142" spans="1:49" x14ac:dyDescent="0.55000000000000004">
      <c r="A142" s="11" t="s">
        <v>155</v>
      </c>
      <c r="B142" s="7" t="s">
        <v>31</v>
      </c>
      <c r="C142" s="10">
        <v>28.54</v>
      </c>
      <c r="D142" s="10">
        <v>53.72</v>
      </c>
      <c r="E142" s="10">
        <v>0</v>
      </c>
      <c r="F142" s="10">
        <v>1.93</v>
      </c>
      <c r="G142" s="10">
        <v>2.4500000000000002</v>
      </c>
      <c r="H142" s="10">
        <v>7.8</v>
      </c>
      <c r="I142" s="10">
        <v>8.01</v>
      </c>
      <c r="J142" s="7">
        <f t="shared" si="56"/>
        <v>7.49</v>
      </c>
      <c r="K142" s="10">
        <v>61.75</v>
      </c>
      <c r="L142" s="7">
        <v>38.25</v>
      </c>
      <c r="M142" s="10">
        <v>78048</v>
      </c>
      <c r="N142" s="10">
        <v>3468</v>
      </c>
      <c r="O142" s="7">
        <f t="shared" si="57"/>
        <v>74580</v>
      </c>
      <c r="P142" s="10">
        <f>ROUND($C142+MIN($D142:$E142)*(1-SUMIFS(PrefFlows!$C:$C,PrefFlows!$A:$A,INDEX($D$1:$E$1,MATCH(MIN($D142:$E142),$D142:$E142,0)),PrefFlows!$B:$B,$B142)),2)</f>
        <v>28.54</v>
      </c>
      <c r="Q142" s="10">
        <f>ROUND(MAX($D142:$E142)+MIN($D142:$E142)*SUMIFS(PrefFlows!$C:$C,PrefFlows!$A:$A,INDEX($D$1:$E$1,MATCH(MIN($D142:$E142),$D142:$E142,0)),PrefFlows!$B:$B,$B142),2)</f>
        <v>53.72</v>
      </c>
      <c r="R142" s="10">
        <f t="shared" si="58"/>
        <v>2.4500000000000002</v>
      </c>
      <c r="S142" s="10">
        <f t="shared" si="59"/>
        <v>7.8</v>
      </c>
      <c r="T142" s="7">
        <f t="shared" si="60"/>
        <v>7.49</v>
      </c>
      <c r="U142" s="9">
        <f t="shared" si="61"/>
        <v>25.18</v>
      </c>
      <c r="V142" s="10">
        <f>ROUND($R142*SUMIFS(PrefFlows!$C:$C,PrefFlows!$A:$A,$R$1,PrefFlows!$B:$B,$B142)+$S142*SUMIFS(PrefFlows!$C:$C,PrefFlows!$A:$A,$S$1,PrefFlows!$B:$B,$B142)+$T142*SUMIFS(PrefFlows!$C:$C,PrefFlows!$A:$A,$T$1,PrefFlows!$B:$B,$B142),2)</f>
        <v>7.04</v>
      </c>
      <c r="W142" s="7">
        <f>ROUND($R142*(1-SUMIFS(PrefFlows!$C:$C,PrefFlows!$A:$A,$R$1,PrefFlows!$B:$B,$B142))+$S142*(1-SUMIFS(PrefFlows!$C:$C,PrefFlows!$A:$A,$S$1,PrefFlows!$B:$B,$B142))+$T142*(1-SUMIFS(PrefFlows!$C:$C,PrefFlows!$A:$A,$T$1,PrefFlows!$B:$B,$B142)),2)</f>
        <v>10.7</v>
      </c>
      <c r="X142" s="10">
        <f t="shared" si="62"/>
        <v>8.0299999999999994</v>
      </c>
      <c r="Y142" s="7">
        <f t="shared" si="63"/>
        <v>9.7100000000000009</v>
      </c>
      <c r="Z142" s="10">
        <f t="shared" si="64"/>
        <v>0.39679999999999999</v>
      </c>
      <c r="AA142" s="10">
        <f t="shared" si="65"/>
        <v>0.4526</v>
      </c>
      <c r="AB142" s="10">
        <f t="shared" si="66"/>
        <v>5.5800000000000002E-2</v>
      </c>
      <c r="AC142" s="7">
        <v>6.7827919466267299E-3</v>
      </c>
      <c r="AD142" s="10">
        <f>ROUND(R142*(1-(Exhaust!$B$2+AC142)),2)</f>
        <v>1.06</v>
      </c>
      <c r="AE142" s="10">
        <f>ROUND(S142*(1-(Exhaust!$B$3+$AC142)),2)</f>
        <v>4.63</v>
      </c>
      <c r="AF142" s="7">
        <f>ROUND(T142*(1-(Exhaust!$B$4+$AC142)),2)</f>
        <v>3.69</v>
      </c>
      <c r="AG142" s="10">
        <f>ROUND($AD142*(SUMIFS(PrefFlows!$C:$C,PrefFlows!$A:$A,$R$1,PrefFlows!$B:$B,$B142)+$AB142)+$AE142*(SUMIFS(PrefFlows!$C:$C,PrefFlows!$A:$A,$S$1,PrefFlows!$B:$B,$B142)+$AB142)+$AF142*(SUMIFS(PrefFlows!$C:$C,PrefFlows!$A:$A,$T$1,PrefFlows!$B:$B,$B142)+$AB142),2)</f>
        <v>4.09</v>
      </c>
      <c r="AH142" s="7">
        <f>ROUND($AD142*(1-(SUMIFS(PrefFlows!$C:$C,PrefFlows!$A:$A,$R$1,PrefFlows!$B:$B,$B142)+$AB142))+$AE142*(1-(SUMIFS(PrefFlows!$C:$C,PrefFlows!$A:$A,$S$1,PrefFlows!$B:$B,$B142)+$AB142))+$AF142*(1-(SUMIFS(PrefFlows!$C:$C,PrefFlows!$A:$A,$T$1,PrefFlows!$B:$B,$B142)+$AB142)),2)</f>
        <v>5.29</v>
      </c>
      <c r="AI142" s="10">
        <f t="shared" si="67"/>
        <v>57.81</v>
      </c>
      <c r="AJ142" s="7">
        <f t="shared" si="68"/>
        <v>33.83</v>
      </c>
      <c r="AK142" s="10">
        <f t="shared" si="69"/>
        <v>63.08</v>
      </c>
      <c r="AL142" s="7">
        <f t="shared" si="69"/>
        <v>36.92</v>
      </c>
      <c r="AM142" s="1">
        <f t="shared" si="52"/>
        <v>11.75</v>
      </c>
      <c r="AN142" s="1">
        <f t="shared" si="53"/>
        <v>13.28</v>
      </c>
      <c r="AO142" s="7">
        <f t="shared" si="54"/>
        <v>13.08</v>
      </c>
      <c r="AP142" s="1" t="b">
        <f t="shared" si="70"/>
        <v>0</v>
      </c>
      <c r="AQ142" s="1" t="b">
        <f t="shared" si="70"/>
        <v>0</v>
      </c>
      <c r="AR142" s="7" t="b">
        <f t="shared" si="71"/>
        <v>0</v>
      </c>
      <c r="AS142" s="1">
        <f t="shared" si="72"/>
        <v>1.5299999999999994</v>
      </c>
      <c r="AT142" s="1">
        <f t="shared" si="72"/>
        <v>1.33</v>
      </c>
      <c r="AU142" s="7">
        <f t="shared" si="73"/>
        <v>0.19999999999999929</v>
      </c>
      <c r="AV142" s="1">
        <f>ROUND(IF(B142="NSW",N142*Meta!$B$6,N142),1)</f>
        <v>3468</v>
      </c>
      <c r="AW142" s="7">
        <f t="shared" si="55"/>
        <v>69570.3</v>
      </c>
    </row>
    <row r="143" spans="1:49" x14ac:dyDescent="0.55000000000000004">
      <c r="A143" s="11" t="s">
        <v>156</v>
      </c>
      <c r="B143" s="7" t="s">
        <v>13</v>
      </c>
      <c r="C143" s="10">
        <v>56.26</v>
      </c>
      <c r="D143" s="10">
        <v>31</v>
      </c>
      <c r="E143" s="10">
        <v>0</v>
      </c>
      <c r="F143" s="10">
        <v>2.63</v>
      </c>
      <c r="G143" s="10">
        <v>0</v>
      </c>
      <c r="H143" s="10">
        <v>10.11</v>
      </c>
      <c r="I143" s="10">
        <v>0</v>
      </c>
      <c r="J143" s="7">
        <f t="shared" si="56"/>
        <v>2.63</v>
      </c>
      <c r="K143" s="10">
        <v>35</v>
      </c>
      <c r="L143" s="7">
        <v>65</v>
      </c>
      <c r="M143" s="10">
        <v>83716</v>
      </c>
      <c r="N143" s="10">
        <v>4629</v>
      </c>
      <c r="O143" s="7">
        <f t="shared" si="57"/>
        <v>79087</v>
      </c>
      <c r="P143" s="10">
        <f>ROUND($C143+MIN($D143:$E143)*(1-SUMIFS(PrefFlows!$C:$C,PrefFlows!$A:$A,INDEX($D$1:$E$1,MATCH(MIN($D143:$E143),$D143:$E143,0)),PrefFlows!$B:$B,$B143)),2)</f>
        <v>56.26</v>
      </c>
      <c r="Q143" s="10">
        <f>ROUND(MAX($D143:$E143)+MIN($D143:$E143)*SUMIFS(PrefFlows!$C:$C,PrefFlows!$A:$A,INDEX($D$1:$E$1,MATCH(MIN($D143:$E143),$D143:$E143,0)),PrefFlows!$B:$B,$B143),2)</f>
        <v>31</v>
      </c>
      <c r="R143" s="10">
        <f t="shared" si="58"/>
        <v>0</v>
      </c>
      <c r="S143" s="10">
        <f t="shared" si="59"/>
        <v>10.11</v>
      </c>
      <c r="T143" s="7">
        <f t="shared" si="60"/>
        <v>2.63</v>
      </c>
      <c r="U143" s="9">
        <f t="shared" si="61"/>
        <v>-25.26</v>
      </c>
      <c r="V143" s="10">
        <f>ROUND($R143*SUMIFS(PrefFlows!$C:$C,PrefFlows!$A:$A,$R$1,PrefFlows!$B:$B,$B143)+$S143*SUMIFS(PrefFlows!$C:$C,PrefFlows!$A:$A,$S$1,PrefFlows!$B:$B,$B143)+$T143*SUMIFS(PrefFlows!$C:$C,PrefFlows!$A:$A,$T$1,PrefFlows!$B:$B,$B143),2)</f>
        <v>3.17</v>
      </c>
      <c r="W143" s="7">
        <f>ROUND($R143*(1-SUMIFS(PrefFlows!$C:$C,PrefFlows!$A:$A,$R$1,PrefFlows!$B:$B,$B143))+$S143*(1-SUMIFS(PrefFlows!$C:$C,PrefFlows!$A:$A,$S$1,PrefFlows!$B:$B,$B143))+$T143*(1-SUMIFS(PrefFlows!$C:$C,PrefFlows!$A:$A,$T$1,PrefFlows!$B:$B,$B143)),2)</f>
        <v>9.57</v>
      </c>
      <c r="X143" s="10">
        <f t="shared" si="62"/>
        <v>4</v>
      </c>
      <c r="Y143" s="7">
        <f t="shared" si="63"/>
        <v>8.74</v>
      </c>
      <c r="Z143" s="10">
        <f t="shared" si="64"/>
        <v>0.24879999999999999</v>
      </c>
      <c r="AA143" s="10">
        <f t="shared" si="65"/>
        <v>0.314</v>
      </c>
      <c r="AB143" s="10">
        <f t="shared" si="66"/>
        <v>6.5199999999999994E-2</v>
      </c>
      <c r="AC143" s="7">
        <v>7.5347165769111199E-2</v>
      </c>
      <c r="AD143" s="10">
        <f>ROUND(R143*(1-(Exhaust!$B$2+AC143)),2)</f>
        <v>0</v>
      </c>
      <c r="AE143" s="10">
        <f>ROUND(S143*(1-(Exhaust!$B$3+$AC143)),2)</f>
        <v>5.3</v>
      </c>
      <c r="AF143" s="7">
        <f>ROUND(T143*(1-(Exhaust!$B$4+$AC143)),2)</f>
        <v>1.1200000000000001</v>
      </c>
      <c r="AG143" s="10">
        <f>ROUND($AD143*(SUMIFS(PrefFlows!$C:$C,PrefFlows!$A:$A,$R$1,PrefFlows!$B:$B,$B143)+$AB143)+$AE143*(SUMIFS(PrefFlows!$C:$C,PrefFlows!$A:$A,$S$1,PrefFlows!$B:$B,$B143)+$AB143)+$AF143*(SUMIFS(PrefFlows!$C:$C,PrefFlows!$A:$A,$T$1,PrefFlows!$B:$B,$B143)+$AB143),2)</f>
        <v>1.94</v>
      </c>
      <c r="AH143" s="7">
        <f>ROUND($AD143*(1-(SUMIFS(PrefFlows!$C:$C,PrefFlows!$A:$A,$R$1,PrefFlows!$B:$B,$B143)+$AB143))+$AE143*(1-(SUMIFS(PrefFlows!$C:$C,PrefFlows!$A:$A,$S$1,PrefFlows!$B:$B,$B143)+$AB143))+$AF143*(1-(SUMIFS(PrefFlows!$C:$C,PrefFlows!$A:$A,$T$1,PrefFlows!$B:$B,$B143)+$AB143)),2)</f>
        <v>4.4800000000000004</v>
      </c>
      <c r="AI143" s="10">
        <f t="shared" si="67"/>
        <v>32.94</v>
      </c>
      <c r="AJ143" s="7">
        <f t="shared" si="68"/>
        <v>60.74</v>
      </c>
      <c r="AK143" s="10">
        <f t="shared" si="69"/>
        <v>35.159999999999997</v>
      </c>
      <c r="AL143" s="7">
        <f t="shared" si="69"/>
        <v>64.84</v>
      </c>
      <c r="AM143" s="1">
        <f t="shared" si="52"/>
        <v>-15</v>
      </c>
      <c r="AN143" s="1">
        <f t="shared" si="53"/>
        <v>-14.77</v>
      </c>
      <c r="AO143" s="7">
        <f t="shared" si="54"/>
        <v>-14.84</v>
      </c>
      <c r="AP143" s="1" t="b">
        <f t="shared" si="70"/>
        <v>0</v>
      </c>
      <c r="AQ143" s="1" t="b">
        <f t="shared" si="70"/>
        <v>0</v>
      </c>
      <c r="AR143" s="7" t="b">
        <f t="shared" si="71"/>
        <v>0</v>
      </c>
      <c r="AS143" s="1">
        <f t="shared" si="72"/>
        <v>0.23000000000000043</v>
      </c>
      <c r="AT143" s="1">
        <f t="shared" si="72"/>
        <v>0.16000000000000014</v>
      </c>
      <c r="AU143" s="7">
        <f t="shared" si="73"/>
        <v>7.0000000000000284E-2</v>
      </c>
      <c r="AV143" s="1">
        <f>ROUND(IF(B143="NSW",N143*Meta!$B$6,N143),1)</f>
        <v>3101.4</v>
      </c>
      <c r="AW143" s="7">
        <f t="shared" si="55"/>
        <v>76639.8</v>
      </c>
    </row>
    <row r="144" spans="1:49" x14ac:dyDescent="0.55000000000000004">
      <c r="A144" s="11" t="s">
        <v>157</v>
      </c>
      <c r="B144" s="7" t="s">
        <v>8</v>
      </c>
      <c r="C144" s="10">
        <v>42.37</v>
      </c>
      <c r="D144" s="10">
        <v>43.81</v>
      </c>
      <c r="E144" s="10">
        <v>0</v>
      </c>
      <c r="F144" s="10">
        <v>1.67</v>
      </c>
      <c r="G144" s="10">
        <v>2.56</v>
      </c>
      <c r="H144" s="10">
        <v>4.1500000000000004</v>
      </c>
      <c r="I144" s="10">
        <v>8</v>
      </c>
      <c r="J144" s="7">
        <f t="shared" si="56"/>
        <v>7.11</v>
      </c>
      <c r="K144" s="10">
        <v>50.67</v>
      </c>
      <c r="L144" s="7">
        <v>49.33</v>
      </c>
      <c r="M144" s="10">
        <v>86201</v>
      </c>
      <c r="N144" s="10">
        <v>5585</v>
      </c>
      <c r="O144" s="7">
        <f t="shared" si="57"/>
        <v>80616</v>
      </c>
      <c r="P144" s="10">
        <f>ROUND($C144+MIN($D144:$E144)*(1-SUMIFS(PrefFlows!$C:$C,PrefFlows!$A:$A,INDEX($D$1:$E$1,MATCH(MIN($D144:$E144),$D144:$E144,0)),PrefFlows!$B:$B,$B144)),2)</f>
        <v>42.37</v>
      </c>
      <c r="Q144" s="10">
        <f>ROUND(MAX($D144:$E144)+MIN($D144:$E144)*SUMIFS(PrefFlows!$C:$C,PrefFlows!$A:$A,INDEX($D$1:$E$1,MATCH(MIN($D144:$E144),$D144:$E144,0)),PrefFlows!$B:$B,$B144),2)</f>
        <v>43.81</v>
      </c>
      <c r="R144" s="10">
        <f t="shared" si="58"/>
        <v>2.56</v>
      </c>
      <c r="S144" s="10">
        <f t="shared" si="59"/>
        <v>4.1500000000000004</v>
      </c>
      <c r="T144" s="7">
        <f t="shared" si="60"/>
        <v>7.11</v>
      </c>
      <c r="U144" s="9">
        <f t="shared" si="61"/>
        <v>1.44</v>
      </c>
      <c r="V144" s="10">
        <f>ROUND($R144*SUMIFS(PrefFlows!$C:$C,PrefFlows!$A:$A,$R$1,PrefFlows!$B:$B,$B144)+$S144*SUMIFS(PrefFlows!$C:$C,PrefFlows!$A:$A,$S$1,PrefFlows!$B:$B,$B144)+$T144*SUMIFS(PrefFlows!$C:$C,PrefFlows!$A:$A,$T$1,PrefFlows!$B:$B,$B144),2)</f>
        <v>5.92</v>
      </c>
      <c r="W144" s="7">
        <f>ROUND($R144*(1-SUMIFS(PrefFlows!$C:$C,PrefFlows!$A:$A,$R$1,PrefFlows!$B:$B,$B144))+$S144*(1-SUMIFS(PrefFlows!$C:$C,PrefFlows!$A:$A,$S$1,PrefFlows!$B:$B,$B144))+$T144*(1-SUMIFS(PrefFlows!$C:$C,PrefFlows!$A:$A,$T$1,PrefFlows!$B:$B,$B144)),2)</f>
        <v>7.9</v>
      </c>
      <c r="X144" s="10">
        <f t="shared" si="62"/>
        <v>6.86</v>
      </c>
      <c r="Y144" s="7">
        <f t="shared" si="63"/>
        <v>6.96</v>
      </c>
      <c r="Z144" s="10">
        <f t="shared" si="64"/>
        <v>0.4284</v>
      </c>
      <c r="AA144" s="10">
        <f t="shared" si="65"/>
        <v>0.49640000000000001</v>
      </c>
      <c r="AB144" s="10">
        <f t="shared" si="66"/>
        <v>6.8000000000000005E-2</v>
      </c>
      <c r="AC144" s="7">
        <v>6.0428626296597197E-2</v>
      </c>
      <c r="AD144" s="10">
        <f>ROUND(R144*(1-(Exhaust!$B$2+AC144)),2)</f>
        <v>0.97</v>
      </c>
      <c r="AE144" s="10">
        <f>ROUND(S144*(1-(Exhaust!$B$3+$AC144)),2)</f>
        <v>2.2400000000000002</v>
      </c>
      <c r="AF144" s="7">
        <f>ROUND(T144*(1-(Exhaust!$B$4+$AC144)),2)</f>
        <v>3.13</v>
      </c>
      <c r="AG144" s="10">
        <f>ROUND($AD144*(SUMIFS(PrefFlows!$C:$C,PrefFlows!$A:$A,$R$1,PrefFlows!$B:$B,$B144)+$AB144)+$AE144*(SUMIFS(PrefFlows!$C:$C,PrefFlows!$A:$A,$S$1,PrefFlows!$B:$B,$B144)+$AB144)+$AF144*(SUMIFS(PrefFlows!$C:$C,PrefFlows!$A:$A,$T$1,PrefFlows!$B:$B,$B144)+$AB144),2)</f>
        <v>3.03</v>
      </c>
      <c r="AH144" s="7">
        <f>ROUND($AD144*(1-(SUMIFS(PrefFlows!$C:$C,PrefFlows!$A:$A,$R$1,PrefFlows!$B:$B,$B144)+$AB144))+$AE144*(1-(SUMIFS(PrefFlows!$C:$C,PrefFlows!$A:$A,$S$1,PrefFlows!$B:$B,$B144)+$AB144))+$AF144*(1-(SUMIFS(PrefFlows!$C:$C,PrefFlows!$A:$A,$T$1,PrefFlows!$B:$B,$B144)+$AB144)),2)</f>
        <v>3.31</v>
      </c>
      <c r="AI144" s="10">
        <f t="shared" si="67"/>
        <v>46.84</v>
      </c>
      <c r="AJ144" s="7">
        <f t="shared" si="68"/>
        <v>45.68</v>
      </c>
      <c r="AK144" s="10">
        <f t="shared" si="69"/>
        <v>50.63</v>
      </c>
      <c r="AL144" s="7">
        <f t="shared" si="69"/>
        <v>49.37</v>
      </c>
      <c r="AM144" s="1">
        <f t="shared" si="52"/>
        <v>0.67</v>
      </c>
      <c r="AN144" s="1">
        <f t="shared" si="53"/>
        <v>0.74</v>
      </c>
      <c r="AO144" s="7">
        <f t="shared" si="54"/>
        <v>0.63</v>
      </c>
      <c r="AP144" s="1" t="b">
        <f t="shared" si="70"/>
        <v>0</v>
      </c>
      <c r="AQ144" s="1" t="b">
        <f t="shared" si="70"/>
        <v>0</v>
      </c>
      <c r="AR144" s="7" t="b">
        <f t="shared" si="71"/>
        <v>0</v>
      </c>
      <c r="AS144" s="1">
        <f t="shared" si="72"/>
        <v>6.9999999999999951E-2</v>
      </c>
      <c r="AT144" s="1">
        <f t="shared" si="72"/>
        <v>-4.0000000000000036E-2</v>
      </c>
      <c r="AU144" s="7">
        <f t="shared" si="73"/>
        <v>0.10999999999999999</v>
      </c>
      <c r="AV144" s="1">
        <f>ROUND(IF(B144="NSW",N144*Meta!$B$6,N144),1)</f>
        <v>5585</v>
      </c>
      <c r="AW144" s="7">
        <f t="shared" si="55"/>
        <v>76578</v>
      </c>
    </row>
    <row r="145" spans="1:49" x14ac:dyDescent="0.55000000000000004">
      <c r="A145" s="11" t="s">
        <v>158</v>
      </c>
      <c r="B145" s="7" t="s">
        <v>10</v>
      </c>
      <c r="C145" s="10">
        <v>31.85</v>
      </c>
      <c r="D145" s="10">
        <v>57.83</v>
      </c>
      <c r="E145" s="10">
        <v>0</v>
      </c>
      <c r="F145" s="10">
        <v>0.96</v>
      </c>
      <c r="G145" s="10">
        <v>0</v>
      </c>
      <c r="H145" s="10">
        <v>4.3499999999999996</v>
      </c>
      <c r="I145" s="10">
        <v>5.01</v>
      </c>
      <c r="J145" s="7">
        <f t="shared" si="56"/>
        <v>5.97</v>
      </c>
      <c r="K145" s="10">
        <v>62.37</v>
      </c>
      <c r="L145" s="7">
        <v>37.630000000000003</v>
      </c>
      <c r="M145" s="10">
        <v>87128</v>
      </c>
      <c r="N145" s="10">
        <v>2944</v>
      </c>
      <c r="O145" s="7">
        <f t="shared" si="57"/>
        <v>84184</v>
      </c>
      <c r="P145" s="10">
        <f>ROUND($C145+MIN($D145:$E145)*(1-SUMIFS(PrefFlows!$C:$C,PrefFlows!$A:$A,INDEX($D$1:$E$1,MATCH(MIN($D145:$E145),$D145:$E145,0)),PrefFlows!$B:$B,$B145)),2)</f>
        <v>31.85</v>
      </c>
      <c r="Q145" s="10">
        <f>ROUND(MAX($D145:$E145)+MIN($D145:$E145)*SUMIFS(PrefFlows!$C:$C,PrefFlows!$A:$A,INDEX($D$1:$E$1,MATCH(MIN($D145:$E145),$D145:$E145,0)),PrefFlows!$B:$B,$B145),2)</f>
        <v>57.83</v>
      </c>
      <c r="R145" s="10">
        <f t="shared" si="58"/>
        <v>0</v>
      </c>
      <c r="S145" s="10">
        <f t="shared" si="59"/>
        <v>4.3499999999999996</v>
      </c>
      <c r="T145" s="7">
        <f t="shared" si="60"/>
        <v>5.97</v>
      </c>
      <c r="U145" s="9">
        <f t="shared" si="61"/>
        <v>25.98</v>
      </c>
      <c r="V145" s="10">
        <f>ROUND($R145*SUMIFS(PrefFlows!$C:$C,PrefFlows!$A:$A,$R$1,PrefFlows!$B:$B,$B145)+$S145*SUMIFS(PrefFlows!$C:$C,PrefFlows!$A:$A,$S$1,PrefFlows!$B:$B,$B145)+$T145*SUMIFS(PrefFlows!$C:$C,PrefFlows!$A:$A,$T$1,PrefFlows!$B:$B,$B145),2)</f>
        <v>3.87</v>
      </c>
      <c r="W145" s="7">
        <f>ROUND($R145*(1-SUMIFS(PrefFlows!$C:$C,PrefFlows!$A:$A,$R$1,PrefFlows!$B:$B,$B145))+$S145*(1-SUMIFS(PrefFlows!$C:$C,PrefFlows!$A:$A,$S$1,PrefFlows!$B:$B,$B145))+$T145*(1-SUMIFS(PrefFlows!$C:$C,PrefFlows!$A:$A,$T$1,PrefFlows!$B:$B,$B145)),2)</f>
        <v>6.45</v>
      </c>
      <c r="X145" s="10">
        <f t="shared" si="62"/>
        <v>4.54</v>
      </c>
      <c r="Y145" s="7">
        <f t="shared" si="63"/>
        <v>5.78</v>
      </c>
      <c r="Z145" s="10">
        <f t="shared" si="64"/>
        <v>0.375</v>
      </c>
      <c r="AA145" s="10">
        <f t="shared" si="65"/>
        <v>0.43990000000000001</v>
      </c>
      <c r="AB145" s="10">
        <f t="shared" si="66"/>
        <v>6.4899999999999999E-2</v>
      </c>
      <c r="AC145" s="7">
        <v>-1.6785181971036098E-2</v>
      </c>
      <c r="AD145" s="10">
        <f>ROUND(R145*(1-(Exhaust!$B$2+AC145)),2)</f>
        <v>0</v>
      </c>
      <c r="AE145" s="10">
        <f>ROUND(S145*(1-(Exhaust!$B$3+$AC145)),2)</f>
        <v>2.68</v>
      </c>
      <c r="AF145" s="7">
        <f>ROUND(T145*(1-(Exhaust!$B$4+$AC145)),2)</f>
        <v>3.09</v>
      </c>
      <c r="AG145" s="10">
        <f>ROUND($AD145*(SUMIFS(PrefFlows!$C:$C,PrefFlows!$A:$A,$R$1,PrefFlows!$B:$B,$B145)+$AB145)+$AE145*(SUMIFS(PrefFlows!$C:$C,PrefFlows!$A:$A,$S$1,PrefFlows!$B:$B,$B145)+$AB145)+$AF145*(SUMIFS(PrefFlows!$C:$C,PrefFlows!$A:$A,$T$1,PrefFlows!$B:$B,$B145)+$AB145),2)</f>
        <v>2.4500000000000002</v>
      </c>
      <c r="AH145" s="7">
        <f>ROUND($AD145*(1-(SUMIFS(PrefFlows!$C:$C,PrefFlows!$A:$A,$R$1,PrefFlows!$B:$B,$B145)+$AB145))+$AE145*(1-(SUMIFS(PrefFlows!$C:$C,PrefFlows!$A:$A,$S$1,PrefFlows!$B:$B,$B145)+$AB145))+$AF145*(1-(SUMIFS(PrefFlows!$C:$C,PrefFlows!$A:$A,$T$1,PrefFlows!$B:$B,$B145)+$AB145)),2)</f>
        <v>3.32</v>
      </c>
      <c r="AI145" s="10">
        <f t="shared" si="67"/>
        <v>60.28</v>
      </c>
      <c r="AJ145" s="7">
        <f t="shared" si="68"/>
        <v>35.17</v>
      </c>
      <c r="AK145" s="10">
        <f t="shared" si="69"/>
        <v>63.15</v>
      </c>
      <c r="AL145" s="7">
        <f t="shared" si="69"/>
        <v>36.85</v>
      </c>
      <c r="AM145" s="1">
        <f t="shared" si="52"/>
        <v>12.37</v>
      </c>
      <c r="AN145" s="1">
        <f t="shared" si="53"/>
        <v>13.33</v>
      </c>
      <c r="AO145" s="7">
        <f t="shared" si="54"/>
        <v>13.15</v>
      </c>
      <c r="AP145" s="1" t="b">
        <f t="shared" si="70"/>
        <v>0</v>
      </c>
      <c r="AQ145" s="1" t="b">
        <f t="shared" si="70"/>
        <v>0</v>
      </c>
      <c r="AR145" s="7" t="b">
        <f t="shared" si="71"/>
        <v>0</v>
      </c>
      <c r="AS145" s="1">
        <f t="shared" si="72"/>
        <v>0.96000000000000085</v>
      </c>
      <c r="AT145" s="1">
        <f t="shared" si="72"/>
        <v>0.78000000000000114</v>
      </c>
      <c r="AU145" s="7">
        <f t="shared" si="73"/>
        <v>0.17999999999999972</v>
      </c>
      <c r="AV145" s="1">
        <f>ROUND(IF(B145="NSW",N145*Meta!$B$6,N145),1)</f>
        <v>2944</v>
      </c>
      <c r="AW145" s="7">
        <f t="shared" si="55"/>
        <v>81436.899999999994</v>
      </c>
    </row>
    <row r="146" spans="1:49" x14ac:dyDescent="0.55000000000000004">
      <c r="A146" s="11" t="s">
        <v>159</v>
      </c>
      <c r="B146" s="7" t="s">
        <v>13</v>
      </c>
      <c r="C146" s="10">
        <v>25.64</v>
      </c>
      <c r="D146" s="10">
        <v>54.53</v>
      </c>
      <c r="E146" s="10">
        <v>0</v>
      </c>
      <c r="F146" s="10">
        <v>0</v>
      </c>
      <c r="G146" s="10">
        <v>1.53</v>
      </c>
      <c r="H146" s="10">
        <v>11.81</v>
      </c>
      <c r="I146" s="10">
        <v>8.02</v>
      </c>
      <c r="J146" s="7">
        <f t="shared" si="56"/>
        <v>6.49</v>
      </c>
      <c r="K146" s="10">
        <v>60.48</v>
      </c>
      <c r="L146" s="7">
        <v>39.520000000000003</v>
      </c>
      <c r="M146" s="10">
        <v>79500</v>
      </c>
      <c r="N146" s="10">
        <v>4684</v>
      </c>
      <c r="O146" s="7">
        <f t="shared" si="57"/>
        <v>74816</v>
      </c>
      <c r="P146" s="10">
        <f>ROUND($C146+MIN($D146:$E146)*(1-SUMIFS(PrefFlows!$C:$C,PrefFlows!$A:$A,INDEX($D$1:$E$1,MATCH(MIN($D146:$E146),$D146:$E146,0)),PrefFlows!$B:$B,$B146)),2)</f>
        <v>25.64</v>
      </c>
      <c r="Q146" s="10">
        <f>ROUND(MAX($D146:$E146)+MIN($D146:$E146)*SUMIFS(PrefFlows!$C:$C,PrefFlows!$A:$A,INDEX($D$1:$E$1,MATCH(MIN($D146:$E146),$D146:$E146,0)),PrefFlows!$B:$B,$B146),2)</f>
        <v>54.53</v>
      </c>
      <c r="R146" s="10">
        <f t="shared" si="58"/>
        <v>1.53</v>
      </c>
      <c r="S146" s="10">
        <f t="shared" si="59"/>
        <v>11.81</v>
      </c>
      <c r="T146" s="7">
        <f t="shared" si="60"/>
        <v>6.49</v>
      </c>
      <c r="U146" s="9">
        <f t="shared" si="61"/>
        <v>28.89</v>
      </c>
      <c r="V146" s="10">
        <f>ROUND($R146*SUMIFS(PrefFlows!$C:$C,PrefFlows!$A:$A,$R$1,PrefFlows!$B:$B,$B146)+$S146*SUMIFS(PrefFlows!$C:$C,PrefFlows!$A:$A,$S$1,PrefFlows!$B:$B,$B146)+$T146*SUMIFS(PrefFlows!$C:$C,PrefFlows!$A:$A,$T$1,PrefFlows!$B:$B,$B146),2)</f>
        <v>6.31</v>
      </c>
      <c r="W146" s="7">
        <f>ROUND($R146*(1-SUMIFS(PrefFlows!$C:$C,PrefFlows!$A:$A,$R$1,PrefFlows!$B:$B,$B146))+$S146*(1-SUMIFS(PrefFlows!$C:$C,PrefFlows!$A:$A,$S$1,PrefFlows!$B:$B,$B146))+$T146*(1-SUMIFS(PrefFlows!$C:$C,PrefFlows!$A:$A,$T$1,PrefFlows!$B:$B,$B146)),2)</f>
        <v>13.52</v>
      </c>
      <c r="X146" s="10">
        <f t="shared" si="62"/>
        <v>5.95</v>
      </c>
      <c r="Y146" s="7">
        <f t="shared" si="63"/>
        <v>13.88</v>
      </c>
      <c r="Z146" s="10">
        <f t="shared" si="64"/>
        <v>0.31819999999999998</v>
      </c>
      <c r="AA146" s="10">
        <f t="shared" si="65"/>
        <v>0.30009999999999998</v>
      </c>
      <c r="AB146" s="10">
        <f t="shared" si="66"/>
        <v>-1.8100000000000002E-2</v>
      </c>
      <c r="AC146" s="7">
        <v>2.8769407577863899E-2</v>
      </c>
      <c r="AD146" s="10">
        <f>ROUND(R146*(1-(Exhaust!$B$2+AC146)),2)</f>
        <v>0.63</v>
      </c>
      <c r="AE146" s="10">
        <f>ROUND(S146*(1-(Exhaust!$B$3+$AC146)),2)</f>
        <v>6.75</v>
      </c>
      <c r="AF146" s="7">
        <f>ROUND(T146*(1-(Exhaust!$B$4+$AC146)),2)</f>
        <v>3.06</v>
      </c>
      <c r="AG146" s="10">
        <f>ROUND($AD146*(SUMIFS(PrefFlows!$C:$C,PrefFlows!$A:$A,$R$1,PrefFlows!$B:$B,$B146)+$AB146)+$AE146*(SUMIFS(PrefFlows!$C:$C,PrefFlows!$A:$A,$S$1,PrefFlows!$B:$B,$B146)+$AB146)+$AF146*(SUMIFS(PrefFlows!$C:$C,PrefFlows!$A:$A,$T$1,PrefFlows!$B:$B,$B146)+$AB146),2)</f>
        <v>2.95</v>
      </c>
      <c r="AH146" s="7">
        <f>ROUND($AD146*(1-(SUMIFS(PrefFlows!$C:$C,PrefFlows!$A:$A,$R$1,PrefFlows!$B:$B,$B146)+$AB146))+$AE146*(1-(SUMIFS(PrefFlows!$C:$C,PrefFlows!$A:$A,$S$1,PrefFlows!$B:$B,$B146)+$AB146))+$AF146*(1-(SUMIFS(PrefFlows!$C:$C,PrefFlows!$A:$A,$T$1,PrefFlows!$B:$B,$B146)+$AB146)),2)</f>
        <v>7.49</v>
      </c>
      <c r="AI146" s="10">
        <f t="shared" si="67"/>
        <v>57.48</v>
      </c>
      <c r="AJ146" s="7">
        <f t="shared" si="68"/>
        <v>33.130000000000003</v>
      </c>
      <c r="AK146" s="10">
        <f t="shared" si="69"/>
        <v>63.44</v>
      </c>
      <c r="AL146" s="7">
        <f t="shared" si="69"/>
        <v>36.56</v>
      </c>
      <c r="AM146" s="1">
        <f t="shared" si="52"/>
        <v>10.48</v>
      </c>
      <c r="AN146" s="1">
        <f t="shared" si="53"/>
        <v>13.69</v>
      </c>
      <c r="AO146" s="7">
        <f t="shared" si="54"/>
        <v>13.44</v>
      </c>
      <c r="AP146" s="1" t="b">
        <f t="shared" si="70"/>
        <v>0</v>
      </c>
      <c r="AQ146" s="1" t="b">
        <f t="shared" si="70"/>
        <v>0</v>
      </c>
      <c r="AR146" s="7" t="b">
        <f t="shared" si="71"/>
        <v>0</v>
      </c>
      <c r="AS146" s="1">
        <f t="shared" si="72"/>
        <v>3.2099999999999991</v>
      </c>
      <c r="AT146" s="1">
        <f t="shared" si="72"/>
        <v>2.9599999999999991</v>
      </c>
      <c r="AU146" s="7">
        <f t="shared" si="73"/>
        <v>0.25</v>
      </c>
      <c r="AV146" s="1">
        <f>ROUND(IF(B146="NSW",N146*Meta!$B$6,N146),1)</f>
        <v>3138.3</v>
      </c>
      <c r="AW146" s="7">
        <f t="shared" si="55"/>
        <v>70287.600000000006</v>
      </c>
    </row>
    <row r="147" spans="1:49" x14ac:dyDescent="0.55000000000000004">
      <c r="A147" s="11" t="s">
        <v>160</v>
      </c>
      <c r="B147" s="7" t="s">
        <v>13</v>
      </c>
      <c r="C147" s="10">
        <v>56.65</v>
      </c>
      <c r="D147" s="10">
        <v>31.52</v>
      </c>
      <c r="E147" s="10">
        <v>0</v>
      </c>
      <c r="F147" s="10">
        <v>1.33</v>
      </c>
      <c r="G147" s="10">
        <v>1.59</v>
      </c>
      <c r="H147" s="10">
        <v>6.77</v>
      </c>
      <c r="I147" s="10">
        <v>3.73</v>
      </c>
      <c r="J147" s="7">
        <f t="shared" si="56"/>
        <v>3.47</v>
      </c>
      <c r="K147" s="10">
        <v>34.86</v>
      </c>
      <c r="L147" s="7">
        <v>65.14</v>
      </c>
      <c r="M147" s="10">
        <v>75826</v>
      </c>
      <c r="N147" s="10">
        <v>6898</v>
      </c>
      <c r="O147" s="7">
        <f t="shared" si="57"/>
        <v>68928</v>
      </c>
      <c r="P147" s="10">
        <f>ROUND($C147+MIN($D147:$E147)*(1-SUMIFS(PrefFlows!$C:$C,PrefFlows!$A:$A,INDEX($D$1:$E$1,MATCH(MIN($D147:$E147),$D147:$E147,0)),PrefFlows!$B:$B,$B147)),2)</f>
        <v>56.65</v>
      </c>
      <c r="Q147" s="10">
        <f>ROUND(MAX($D147:$E147)+MIN($D147:$E147)*SUMIFS(PrefFlows!$C:$C,PrefFlows!$A:$A,INDEX($D$1:$E$1,MATCH(MIN($D147:$E147),$D147:$E147,0)),PrefFlows!$B:$B,$B147),2)</f>
        <v>31.52</v>
      </c>
      <c r="R147" s="10">
        <f t="shared" si="58"/>
        <v>1.59</v>
      </c>
      <c r="S147" s="10">
        <f t="shared" si="59"/>
        <v>6.77</v>
      </c>
      <c r="T147" s="7">
        <f t="shared" si="60"/>
        <v>3.47</v>
      </c>
      <c r="U147" s="9">
        <f t="shared" si="61"/>
        <v>-25.13</v>
      </c>
      <c r="V147" s="10">
        <f>ROUND($R147*SUMIFS(PrefFlows!$C:$C,PrefFlows!$A:$A,$R$1,PrefFlows!$B:$B,$B147)+$S147*SUMIFS(PrefFlows!$C:$C,PrefFlows!$A:$A,$S$1,PrefFlows!$B:$B,$B147)+$T147*SUMIFS(PrefFlows!$C:$C,PrefFlows!$A:$A,$T$1,PrefFlows!$B:$B,$B147),2)</f>
        <v>3.87</v>
      </c>
      <c r="W147" s="7">
        <f>ROUND($R147*(1-SUMIFS(PrefFlows!$C:$C,PrefFlows!$A:$A,$R$1,PrefFlows!$B:$B,$B147))+$S147*(1-SUMIFS(PrefFlows!$C:$C,PrefFlows!$A:$A,$S$1,PrefFlows!$B:$B,$B147))+$T147*(1-SUMIFS(PrefFlows!$C:$C,PrefFlows!$A:$A,$T$1,PrefFlows!$B:$B,$B147)),2)</f>
        <v>7.96</v>
      </c>
      <c r="X147" s="10">
        <f t="shared" si="62"/>
        <v>3.34</v>
      </c>
      <c r="Y147" s="7">
        <f t="shared" si="63"/>
        <v>8.49</v>
      </c>
      <c r="Z147" s="10">
        <f t="shared" si="64"/>
        <v>0.3271</v>
      </c>
      <c r="AA147" s="10">
        <f t="shared" si="65"/>
        <v>0.2823</v>
      </c>
      <c r="AB147" s="10">
        <f t="shared" si="66"/>
        <v>-4.48E-2</v>
      </c>
      <c r="AC147" s="7">
        <v>9.9340844221387697E-2</v>
      </c>
      <c r="AD147" s="10">
        <f>ROUND(R147*(1-(Exhaust!$B$2+AC147)),2)</f>
        <v>0.54</v>
      </c>
      <c r="AE147" s="10">
        <f>ROUND(S147*(1-(Exhaust!$B$3+$AC147)),2)</f>
        <v>3.39</v>
      </c>
      <c r="AF147" s="7">
        <f>ROUND(T147*(1-(Exhaust!$B$4+$AC147)),2)</f>
        <v>1.39</v>
      </c>
      <c r="AG147" s="10">
        <f>ROUND($AD147*(SUMIFS(PrefFlows!$C:$C,PrefFlows!$A:$A,$R$1,PrefFlows!$B:$B,$B147)+$AB147)+$AE147*(SUMIFS(PrefFlows!$C:$C,PrefFlows!$A:$A,$S$1,PrefFlows!$B:$B,$B147)+$AB147)+$AF147*(SUMIFS(PrefFlows!$C:$C,PrefFlows!$A:$A,$T$1,PrefFlows!$B:$B,$B147)+$AB147),2)</f>
        <v>1.38</v>
      </c>
      <c r="AH147" s="7">
        <f>ROUND($AD147*(1-(SUMIFS(PrefFlows!$C:$C,PrefFlows!$A:$A,$R$1,PrefFlows!$B:$B,$B147)+$AB147))+$AE147*(1-(SUMIFS(PrefFlows!$C:$C,PrefFlows!$A:$A,$S$1,PrefFlows!$B:$B,$B147)+$AB147))+$AF147*(1-(SUMIFS(PrefFlows!$C:$C,PrefFlows!$A:$A,$T$1,PrefFlows!$B:$B,$B147)+$AB147)),2)</f>
        <v>3.94</v>
      </c>
      <c r="AI147" s="10">
        <f t="shared" si="67"/>
        <v>32.9</v>
      </c>
      <c r="AJ147" s="7">
        <f t="shared" si="68"/>
        <v>60.59</v>
      </c>
      <c r="AK147" s="10">
        <f t="shared" si="69"/>
        <v>35.19</v>
      </c>
      <c r="AL147" s="7">
        <f t="shared" si="69"/>
        <v>64.81</v>
      </c>
      <c r="AM147" s="1">
        <f t="shared" si="52"/>
        <v>-15.14</v>
      </c>
      <c r="AN147" s="1">
        <f t="shared" si="53"/>
        <v>-14.74</v>
      </c>
      <c r="AO147" s="7">
        <f t="shared" si="54"/>
        <v>-14.81</v>
      </c>
      <c r="AP147" s="1" t="b">
        <f t="shared" si="70"/>
        <v>0</v>
      </c>
      <c r="AQ147" s="1" t="b">
        <f t="shared" si="70"/>
        <v>0</v>
      </c>
      <c r="AR147" s="7" t="b">
        <f t="shared" si="71"/>
        <v>0</v>
      </c>
      <c r="AS147" s="1">
        <f t="shared" si="72"/>
        <v>0.40000000000000036</v>
      </c>
      <c r="AT147" s="1">
        <f t="shared" si="72"/>
        <v>0.33000000000000007</v>
      </c>
      <c r="AU147" s="7">
        <f t="shared" si="73"/>
        <v>7.0000000000000284E-2</v>
      </c>
      <c r="AV147" s="1">
        <f>ROUND(IF(B147="NSW",N147*Meta!$B$6,N147),1)</f>
        <v>4621.7</v>
      </c>
      <c r="AW147" s="7">
        <f t="shared" si="55"/>
        <v>68234.600000000006</v>
      </c>
    </row>
    <row r="148" spans="1:49" x14ac:dyDescent="0.55000000000000004">
      <c r="A148" s="11" t="s">
        <v>161</v>
      </c>
      <c r="B148" s="7" t="s">
        <v>13</v>
      </c>
      <c r="C148" s="10">
        <v>26.34</v>
      </c>
      <c r="D148" s="10">
        <v>41.79</v>
      </c>
      <c r="E148" s="10">
        <v>0</v>
      </c>
      <c r="F148" s="10">
        <v>0.93</v>
      </c>
      <c r="G148" s="10">
        <v>0</v>
      </c>
      <c r="H148" s="10">
        <v>11.15</v>
      </c>
      <c r="I148" s="10">
        <v>19.79</v>
      </c>
      <c r="J148" s="7">
        <f t="shared" si="56"/>
        <v>20.72</v>
      </c>
      <c r="K148" s="10">
        <v>55.48</v>
      </c>
      <c r="L148" s="7">
        <v>44.52</v>
      </c>
      <c r="M148" s="10">
        <v>78477</v>
      </c>
      <c r="N148" s="10">
        <v>4853</v>
      </c>
      <c r="O148" s="7">
        <f t="shared" si="57"/>
        <v>73624</v>
      </c>
      <c r="P148" s="10">
        <f>ROUND($C148+MIN($D148:$E148)*(1-SUMIFS(PrefFlows!$C:$C,PrefFlows!$A:$A,INDEX($D$1:$E$1,MATCH(MIN($D148:$E148),$D148:$E148,0)),PrefFlows!$B:$B,$B148)),2)</f>
        <v>26.34</v>
      </c>
      <c r="Q148" s="10">
        <f>ROUND(MAX($D148:$E148)+MIN($D148:$E148)*SUMIFS(PrefFlows!$C:$C,PrefFlows!$A:$A,INDEX($D$1:$E$1,MATCH(MIN($D148:$E148),$D148:$E148,0)),PrefFlows!$B:$B,$B148),2)</f>
        <v>41.79</v>
      </c>
      <c r="R148" s="10">
        <f t="shared" si="58"/>
        <v>0</v>
      </c>
      <c r="S148" s="10">
        <f t="shared" si="59"/>
        <v>11.15</v>
      </c>
      <c r="T148" s="7">
        <f t="shared" si="60"/>
        <v>20.72</v>
      </c>
      <c r="U148" s="9">
        <f t="shared" si="61"/>
        <v>15.45</v>
      </c>
      <c r="V148" s="10">
        <f>ROUND($R148*SUMIFS(PrefFlows!$C:$C,PrefFlows!$A:$A,$R$1,PrefFlows!$B:$B,$B148)+$S148*SUMIFS(PrefFlows!$C:$C,PrefFlows!$A:$A,$S$1,PrefFlows!$B:$B,$B148)+$T148*SUMIFS(PrefFlows!$C:$C,PrefFlows!$A:$A,$T$1,PrefFlows!$B:$B,$B148),2)</f>
        <v>12.85</v>
      </c>
      <c r="W148" s="7">
        <f>ROUND($R148*(1-SUMIFS(PrefFlows!$C:$C,PrefFlows!$A:$A,$R$1,PrefFlows!$B:$B,$B148))+$S148*(1-SUMIFS(PrefFlows!$C:$C,PrefFlows!$A:$A,$S$1,PrefFlows!$B:$B,$B148))+$T148*(1-SUMIFS(PrefFlows!$C:$C,PrefFlows!$A:$A,$T$1,PrefFlows!$B:$B,$B148)),2)</f>
        <v>19.02</v>
      </c>
      <c r="X148" s="10">
        <f t="shared" si="62"/>
        <v>13.69</v>
      </c>
      <c r="Y148" s="7">
        <f t="shared" si="63"/>
        <v>18.18</v>
      </c>
      <c r="Z148" s="10">
        <f t="shared" si="64"/>
        <v>0.4032</v>
      </c>
      <c r="AA148" s="10">
        <f t="shared" si="65"/>
        <v>0.42959999999999998</v>
      </c>
      <c r="AB148" s="10">
        <f t="shared" si="66"/>
        <v>2.64E-2</v>
      </c>
      <c r="AC148" s="7">
        <v>2.97839739475565E-2</v>
      </c>
      <c r="AD148" s="10">
        <f>ROUND(R148*(1-(Exhaust!$B$2+AC148)),2)</f>
        <v>0</v>
      </c>
      <c r="AE148" s="10">
        <f>ROUND(S148*(1-(Exhaust!$B$3+$AC148)),2)</f>
        <v>6.36</v>
      </c>
      <c r="AF148" s="7">
        <f>ROUND(T148*(1-(Exhaust!$B$4+$AC148)),2)</f>
        <v>9.74</v>
      </c>
      <c r="AG148" s="10">
        <f>ROUND($AD148*(SUMIFS(PrefFlows!$C:$C,PrefFlows!$A:$A,$R$1,PrefFlows!$B:$B,$B148)+$AB148)+$AE148*(SUMIFS(PrefFlows!$C:$C,PrefFlows!$A:$A,$S$1,PrefFlows!$B:$B,$B148)+$AB148)+$AF148*(SUMIFS(PrefFlows!$C:$C,PrefFlows!$A:$A,$T$1,PrefFlows!$B:$B,$B148)+$AB148),2)</f>
        <v>6.66</v>
      </c>
      <c r="AH148" s="7">
        <f>ROUND($AD148*(1-(SUMIFS(PrefFlows!$C:$C,PrefFlows!$A:$A,$R$1,PrefFlows!$B:$B,$B148)+$AB148))+$AE148*(1-(SUMIFS(PrefFlows!$C:$C,PrefFlows!$A:$A,$S$1,PrefFlows!$B:$B,$B148)+$AB148))+$AF148*(1-(SUMIFS(PrefFlows!$C:$C,PrefFlows!$A:$A,$T$1,PrefFlows!$B:$B,$B148)+$AB148)),2)</f>
        <v>9.44</v>
      </c>
      <c r="AI148" s="10">
        <f t="shared" si="67"/>
        <v>48.45</v>
      </c>
      <c r="AJ148" s="7">
        <f t="shared" si="68"/>
        <v>35.78</v>
      </c>
      <c r="AK148" s="10">
        <f t="shared" si="69"/>
        <v>57.52</v>
      </c>
      <c r="AL148" s="7">
        <f t="shared" si="69"/>
        <v>42.48</v>
      </c>
      <c r="AM148" s="1">
        <f t="shared" si="52"/>
        <v>5.48</v>
      </c>
      <c r="AN148" s="1">
        <f t="shared" si="53"/>
        <v>7.74</v>
      </c>
      <c r="AO148" s="7">
        <f t="shared" si="54"/>
        <v>7.52</v>
      </c>
      <c r="AP148" s="1" t="b">
        <f t="shared" si="70"/>
        <v>0</v>
      </c>
      <c r="AQ148" s="1" t="b">
        <f t="shared" si="70"/>
        <v>0</v>
      </c>
      <c r="AR148" s="7" t="b">
        <f t="shared" si="71"/>
        <v>0</v>
      </c>
      <c r="AS148" s="1">
        <f t="shared" si="72"/>
        <v>2.2599999999999998</v>
      </c>
      <c r="AT148" s="1">
        <f t="shared" si="72"/>
        <v>2.0399999999999991</v>
      </c>
      <c r="AU148" s="7">
        <f t="shared" si="73"/>
        <v>0.22000000000000064</v>
      </c>
      <c r="AV148" s="1">
        <f>ROUND(IF(B148="NSW",N148*Meta!$B$6,N148),1)</f>
        <v>3251.5</v>
      </c>
      <c r="AW148" s="7">
        <f t="shared" si="55"/>
        <v>64418.3</v>
      </c>
    </row>
    <row r="149" spans="1:49" x14ac:dyDescent="0.55000000000000004">
      <c r="A149" s="11" t="s">
        <v>162</v>
      </c>
      <c r="B149" s="7" t="s">
        <v>13</v>
      </c>
      <c r="C149" s="10">
        <v>52.64</v>
      </c>
      <c r="D149" s="10">
        <v>35.11</v>
      </c>
      <c r="E149" s="10">
        <v>0</v>
      </c>
      <c r="F149" s="10">
        <v>1.24</v>
      </c>
      <c r="G149" s="10">
        <v>2.36</v>
      </c>
      <c r="H149" s="10">
        <v>3.13</v>
      </c>
      <c r="I149" s="10">
        <v>7.88</v>
      </c>
      <c r="J149" s="7">
        <f t="shared" si="56"/>
        <v>6.76</v>
      </c>
      <c r="K149" s="10">
        <v>40.69</v>
      </c>
      <c r="L149" s="7">
        <v>59.31</v>
      </c>
      <c r="M149" s="10">
        <v>84306</v>
      </c>
      <c r="N149" s="10">
        <v>6724</v>
      </c>
      <c r="O149" s="7">
        <f t="shared" si="57"/>
        <v>77582</v>
      </c>
      <c r="P149" s="10">
        <f>ROUND($C149+MIN($D149:$E149)*(1-SUMIFS(PrefFlows!$C:$C,PrefFlows!$A:$A,INDEX($D$1:$E$1,MATCH(MIN($D149:$E149),$D149:$E149,0)),PrefFlows!$B:$B,$B149)),2)</f>
        <v>52.64</v>
      </c>
      <c r="Q149" s="10">
        <f>ROUND(MAX($D149:$E149)+MIN($D149:$E149)*SUMIFS(PrefFlows!$C:$C,PrefFlows!$A:$A,INDEX($D$1:$E$1,MATCH(MIN($D149:$E149),$D149:$E149,0)),PrefFlows!$B:$B,$B149),2)</f>
        <v>35.11</v>
      </c>
      <c r="R149" s="10">
        <f t="shared" si="58"/>
        <v>2.36</v>
      </c>
      <c r="S149" s="10">
        <f t="shared" si="59"/>
        <v>3.13</v>
      </c>
      <c r="T149" s="7">
        <f t="shared" si="60"/>
        <v>6.76</v>
      </c>
      <c r="U149" s="9">
        <f t="shared" si="61"/>
        <v>-17.53</v>
      </c>
      <c r="V149" s="10">
        <f>ROUND($R149*SUMIFS(PrefFlows!$C:$C,PrefFlows!$A:$A,$R$1,PrefFlows!$B:$B,$B149)+$S149*SUMIFS(PrefFlows!$C:$C,PrefFlows!$A:$A,$S$1,PrefFlows!$B:$B,$B149)+$T149*SUMIFS(PrefFlows!$C:$C,PrefFlows!$A:$A,$T$1,PrefFlows!$B:$B,$B149),2)</f>
        <v>5.36</v>
      </c>
      <c r="W149" s="7">
        <f>ROUND($R149*(1-SUMIFS(PrefFlows!$C:$C,PrefFlows!$A:$A,$R$1,PrefFlows!$B:$B,$B149))+$S149*(1-SUMIFS(PrefFlows!$C:$C,PrefFlows!$A:$A,$S$1,PrefFlows!$B:$B,$B149))+$T149*(1-SUMIFS(PrefFlows!$C:$C,PrefFlows!$A:$A,$T$1,PrefFlows!$B:$B,$B149)),2)</f>
        <v>6.89</v>
      </c>
      <c r="X149" s="10">
        <f t="shared" si="62"/>
        <v>5.58</v>
      </c>
      <c r="Y149" s="7">
        <f t="shared" si="63"/>
        <v>6.67</v>
      </c>
      <c r="Z149" s="10">
        <f t="shared" si="64"/>
        <v>0.43759999999999999</v>
      </c>
      <c r="AA149" s="10">
        <f t="shared" si="65"/>
        <v>0.45550000000000002</v>
      </c>
      <c r="AB149" s="10">
        <f t="shared" si="66"/>
        <v>1.7899999999999999E-2</v>
      </c>
      <c r="AC149" s="7">
        <v>7.8568453911855393E-2</v>
      </c>
      <c r="AD149" s="10">
        <f>ROUND(R149*(1-(Exhaust!$B$2+AC149)),2)</f>
        <v>0.85</v>
      </c>
      <c r="AE149" s="10">
        <f>ROUND(S149*(1-(Exhaust!$B$3+$AC149)),2)</f>
        <v>1.63</v>
      </c>
      <c r="AF149" s="7">
        <f>ROUND(T149*(1-(Exhaust!$B$4+$AC149)),2)</f>
        <v>2.85</v>
      </c>
      <c r="AG149" s="10">
        <f>ROUND($AD149*(SUMIFS(PrefFlows!$C:$C,PrefFlows!$A:$A,$R$1,PrefFlows!$B:$B,$B149)+$AB149)+$AE149*(SUMIFS(PrefFlows!$C:$C,PrefFlows!$A:$A,$S$1,PrefFlows!$B:$B,$B149)+$AB149)+$AF149*(SUMIFS(PrefFlows!$C:$C,PrefFlows!$A:$A,$T$1,PrefFlows!$B:$B,$B149)+$AB149),2)</f>
        <v>2.33</v>
      </c>
      <c r="AH149" s="7">
        <f>ROUND($AD149*(1-(SUMIFS(PrefFlows!$C:$C,PrefFlows!$A:$A,$R$1,PrefFlows!$B:$B,$B149)+$AB149))+$AE149*(1-(SUMIFS(PrefFlows!$C:$C,PrefFlows!$A:$A,$S$1,PrefFlows!$B:$B,$B149)+$AB149))+$AF149*(1-(SUMIFS(PrefFlows!$C:$C,PrefFlows!$A:$A,$T$1,PrefFlows!$B:$B,$B149)+$AB149)),2)</f>
        <v>3</v>
      </c>
      <c r="AI149" s="10">
        <f t="shared" si="67"/>
        <v>37.44</v>
      </c>
      <c r="AJ149" s="7">
        <f t="shared" si="68"/>
        <v>55.64</v>
      </c>
      <c r="AK149" s="10">
        <f t="shared" si="69"/>
        <v>40.22</v>
      </c>
      <c r="AL149" s="7">
        <f t="shared" si="69"/>
        <v>59.78</v>
      </c>
      <c r="AM149" s="1">
        <f t="shared" si="52"/>
        <v>-9.31</v>
      </c>
      <c r="AN149" s="1">
        <f t="shared" si="53"/>
        <v>-9.61</v>
      </c>
      <c r="AO149" s="7">
        <f t="shared" si="54"/>
        <v>-9.7799999999999994</v>
      </c>
      <c r="AP149" s="1" t="b">
        <f t="shared" si="70"/>
        <v>0</v>
      </c>
      <c r="AQ149" s="1" t="b">
        <f t="shared" si="70"/>
        <v>0</v>
      </c>
      <c r="AR149" s="7" t="b">
        <f t="shared" si="71"/>
        <v>0</v>
      </c>
      <c r="AS149" s="1">
        <f t="shared" si="72"/>
        <v>-0.29999999999999893</v>
      </c>
      <c r="AT149" s="1">
        <f t="shared" si="72"/>
        <v>-0.46999999999999886</v>
      </c>
      <c r="AU149" s="7">
        <f t="shared" si="73"/>
        <v>0.16999999999999993</v>
      </c>
      <c r="AV149" s="1">
        <f>ROUND(IF(B149="NSW",N149*Meta!$B$6,N149),1)</f>
        <v>4505.1000000000004</v>
      </c>
      <c r="AW149" s="7">
        <f t="shared" si="55"/>
        <v>75895.3</v>
      </c>
    </row>
    <row r="150" spans="1:49" x14ac:dyDescent="0.55000000000000004">
      <c r="A150" s="11" t="s">
        <v>163</v>
      </c>
      <c r="B150" s="7" t="s">
        <v>23</v>
      </c>
      <c r="C150" s="10">
        <v>25.69</v>
      </c>
      <c r="D150" s="10">
        <v>0</v>
      </c>
      <c r="E150" s="10">
        <v>47.08</v>
      </c>
      <c r="F150" s="10">
        <v>1.1399999999999999</v>
      </c>
      <c r="G150" s="10">
        <v>4.9400000000000004</v>
      </c>
      <c r="H150" s="10">
        <v>4.43</v>
      </c>
      <c r="I150" s="10">
        <v>21.66</v>
      </c>
      <c r="J150" s="7">
        <f t="shared" si="56"/>
        <v>17.86</v>
      </c>
      <c r="K150" s="10">
        <v>62.89</v>
      </c>
      <c r="L150" s="7">
        <v>37.11</v>
      </c>
      <c r="M150" s="10">
        <v>85989</v>
      </c>
      <c r="N150" s="10">
        <v>4112</v>
      </c>
      <c r="O150" s="7">
        <f t="shared" si="57"/>
        <v>81877</v>
      </c>
      <c r="P150" s="10">
        <f>ROUND($C150+MIN($D150:$E150)*(1-SUMIFS(PrefFlows!$C:$C,PrefFlows!$A:$A,INDEX($D$1:$E$1,MATCH(MIN($D150:$E150),$D150:$E150,0)),PrefFlows!$B:$B,$B150)),2)</f>
        <v>25.69</v>
      </c>
      <c r="Q150" s="10">
        <f>ROUND(MAX($D150:$E150)+MIN($D150:$E150)*SUMIFS(PrefFlows!$C:$C,PrefFlows!$A:$A,INDEX($D$1:$E$1,MATCH(MIN($D150:$E150),$D150:$E150,0)),PrefFlows!$B:$B,$B150),2)</f>
        <v>47.08</v>
      </c>
      <c r="R150" s="10">
        <f t="shared" si="58"/>
        <v>4.9400000000000004</v>
      </c>
      <c r="S150" s="10">
        <f t="shared" si="59"/>
        <v>4.43</v>
      </c>
      <c r="T150" s="7">
        <f t="shared" si="60"/>
        <v>17.86</v>
      </c>
      <c r="U150" s="9">
        <f t="shared" si="61"/>
        <v>21.39</v>
      </c>
      <c r="V150" s="10">
        <f>ROUND($R150*SUMIFS(PrefFlows!$C:$C,PrefFlows!$A:$A,$R$1,PrefFlows!$B:$B,$B150)+$S150*SUMIFS(PrefFlows!$C:$C,PrefFlows!$A:$A,$S$1,PrefFlows!$B:$B,$B150)+$T150*SUMIFS(PrefFlows!$C:$C,PrefFlows!$A:$A,$T$1,PrefFlows!$B:$B,$B150),2)</f>
        <v>13.13</v>
      </c>
      <c r="W150" s="7">
        <f>ROUND($R150*(1-SUMIFS(PrefFlows!$C:$C,PrefFlows!$A:$A,$R$1,PrefFlows!$B:$B,$B150))+$S150*(1-SUMIFS(PrefFlows!$C:$C,PrefFlows!$A:$A,$S$1,PrefFlows!$B:$B,$B150))+$T150*(1-SUMIFS(PrefFlows!$C:$C,PrefFlows!$A:$A,$T$1,PrefFlows!$B:$B,$B150)),2)</f>
        <v>14.1</v>
      </c>
      <c r="X150" s="10">
        <f t="shared" si="62"/>
        <v>15.81</v>
      </c>
      <c r="Y150" s="7">
        <f t="shared" si="63"/>
        <v>11.42</v>
      </c>
      <c r="Z150" s="10">
        <f t="shared" si="64"/>
        <v>0.48220000000000002</v>
      </c>
      <c r="AA150" s="10">
        <f t="shared" si="65"/>
        <v>0.5806</v>
      </c>
      <c r="AB150" s="10">
        <f t="shared" si="66"/>
        <v>9.8400000000000001E-2</v>
      </c>
      <c r="AC150" s="7">
        <v>3.9829685591268697E-2</v>
      </c>
      <c r="AD150" s="10">
        <f>ROUND(R150*(1-(Exhaust!$B$2+AC150)),2)</f>
        <v>1.98</v>
      </c>
      <c r="AE150" s="10">
        <f>ROUND(S150*(1-(Exhaust!$B$3+$AC150)),2)</f>
        <v>2.48</v>
      </c>
      <c r="AF150" s="7">
        <f>ROUND(T150*(1-(Exhaust!$B$4+$AC150)),2)</f>
        <v>8.2200000000000006</v>
      </c>
      <c r="AG150" s="10">
        <f>ROUND($AD150*(SUMIFS(PrefFlows!$C:$C,PrefFlows!$A:$A,$R$1,PrefFlows!$B:$B,$B150)+$AB150)+$AE150*(SUMIFS(PrefFlows!$C:$C,PrefFlows!$A:$A,$S$1,PrefFlows!$B:$B,$B150)+$AB150)+$AF150*(SUMIFS(PrefFlows!$C:$C,PrefFlows!$A:$A,$T$1,PrefFlows!$B:$B,$B150)+$AB150),2)</f>
        <v>7.23</v>
      </c>
      <c r="AH150" s="7">
        <f>ROUND($AD150*(1-(SUMIFS(PrefFlows!$C:$C,PrefFlows!$A:$A,$R$1,PrefFlows!$B:$B,$B150)+$AB150))+$AE150*(1-(SUMIFS(PrefFlows!$C:$C,PrefFlows!$A:$A,$S$1,PrefFlows!$B:$B,$B150)+$AB150))+$AF150*(1-(SUMIFS(PrefFlows!$C:$C,PrefFlows!$A:$A,$T$1,PrefFlows!$B:$B,$B150)+$AB150)),2)</f>
        <v>5.45</v>
      </c>
      <c r="AI150" s="10">
        <f t="shared" si="67"/>
        <v>54.31</v>
      </c>
      <c r="AJ150" s="7">
        <f t="shared" si="68"/>
        <v>31.14</v>
      </c>
      <c r="AK150" s="10">
        <f t="shared" si="69"/>
        <v>63.56</v>
      </c>
      <c r="AL150" s="7">
        <f t="shared" si="69"/>
        <v>36.44</v>
      </c>
      <c r="AM150" s="1">
        <f t="shared" si="52"/>
        <v>12.89</v>
      </c>
      <c r="AN150" s="1">
        <f t="shared" si="53"/>
        <v>13.62</v>
      </c>
      <c r="AO150" s="7">
        <f t="shared" si="54"/>
        <v>13.56</v>
      </c>
      <c r="AP150" s="1" t="b">
        <f t="shared" si="70"/>
        <v>0</v>
      </c>
      <c r="AQ150" s="1" t="b">
        <f t="shared" si="70"/>
        <v>0</v>
      </c>
      <c r="AR150" s="7" t="b">
        <f t="shared" si="71"/>
        <v>0</v>
      </c>
      <c r="AS150" s="1">
        <f t="shared" si="72"/>
        <v>0.72999999999999865</v>
      </c>
      <c r="AT150" s="1">
        <f t="shared" si="72"/>
        <v>0.66999999999999993</v>
      </c>
      <c r="AU150" s="7">
        <f t="shared" si="73"/>
        <v>5.9999999999998721E-2</v>
      </c>
      <c r="AV150" s="1">
        <f>ROUND(IF(B150="NSW",N150*Meta!$B$6,N150),1)</f>
        <v>4112</v>
      </c>
      <c r="AW150" s="7">
        <f t="shared" si="55"/>
        <v>71318.5</v>
      </c>
    </row>
    <row r="151" spans="1:49" x14ac:dyDescent="0.55000000000000004">
      <c r="A151" s="11" t="s">
        <v>164</v>
      </c>
      <c r="B151" s="7" t="s">
        <v>10</v>
      </c>
      <c r="C151" s="10">
        <v>53.82</v>
      </c>
      <c r="D151" s="10">
        <v>28.7</v>
      </c>
      <c r="E151" s="10">
        <v>0</v>
      </c>
      <c r="F151" s="10">
        <v>1.42</v>
      </c>
      <c r="G151" s="10">
        <v>0</v>
      </c>
      <c r="H151" s="10">
        <v>13</v>
      </c>
      <c r="I151" s="10">
        <v>3.06</v>
      </c>
      <c r="J151" s="7">
        <f t="shared" si="56"/>
        <v>4.4800000000000004</v>
      </c>
      <c r="K151" s="10">
        <v>33.1</v>
      </c>
      <c r="L151" s="7">
        <v>66.900000000000006</v>
      </c>
      <c r="M151" s="10">
        <v>86820</v>
      </c>
      <c r="N151" s="10">
        <v>4772</v>
      </c>
      <c r="O151" s="7">
        <f t="shared" si="57"/>
        <v>82048</v>
      </c>
      <c r="P151" s="10">
        <f>ROUND($C151+MIN($D151:$E151)*(1-SUMIFS(PrefFlows!$C:$C,PrefFlows!$A:$A,INDEX($D$1:$E$1,MATCH(MIN($D151:$E151),$D151:$E151,0)),PrefFlows!$B:$B,$B151)),2)</f>
        <v>53.82</v>
      </c>
      <c r="Q151" s="10">
        <f>ROUND(MAX($D151:$E151)+MIN($D151:$E151)*SUMIFS(PrefFlows!$C:$C,PrefFlows!$A:$A,INDEX($D$1:$E$1,MATCH(MIN($D151:$E151),$D151:$E151,0)),PrefFlows!$B:$B,$B151),2)</f>
        <v>28.7</v>
      </c>
      <c r="R151" s="10">
        <f t="shared" si="58"/>
        <v>0</v>
      </c>
      <c r="S151" s="10">
        <f t="shared" si="59"/>
        <v>13</v>
      </c>
      <c r="T151" s="7">
        <f t="shared" si="60"/>
        <v>4.4800000000000004</v>
      </c>
      <c r="U151" s="9">
        <f t="shared" si="61"/>
        <v>-25.12</v>
      </c>
      <c r="V151" s="10">
        <f>ROUND($R151*SUMIFS(PrefFlows!$C:$C,PrefFlows!$A:$A,$R$1,PrefFlows!$B:$B,$B151)+$S151*SUMIFS(PrefFlows!$C:$C,PrefFlows!$A:$A,$S$1,PrefFlows!$B:$B,$B151)+$T151*SUMIFS(PrefFlows!$C:$C,PrefFlows!$A:$A,$T$1,PrefFlows!$B:$B,$B151),2)</f>
        <v>4.54</v>
      </c>
      <c r="W151" s="7">
        <f>ROUND($R151*(1-SUMIFS(PrefFlows!$C:$C,PrefFlows!$A:$A,$R$1,PrefFlows!$B:$B,$B151))+$S151*(1-SUMIFS(PrefFlows!$C:$C,PrefFlows!$A:$A,$S$1,PrefFlows!$B:$B,$B151))+$T151*(1-SUMIFS(PrefFlows!$C:$C,PrefFlows!$A:$A,$T$1,PrefFlows!$B:$B,$B151)),2)</f>
        <v>12.94</v>
      </c>
      <c r="X151" s="10">
        <f t="shared" si="62"/>
        <v>4.4000000000000004</v>
      </c>
      <c r="Y151" s="7">
        <f t="shared" si="63"/>
        <v>13.08</v>
      </c>
      <c r="Z151" s="10">
        <f t="shared" si="64"/>
        <v>0.25969999999999999</v>
      </c>
      <c r="AA151" s="10">
        <f t="shared" si="65"/>
        <v>0.25169999999999998</v>
      </c>
      <c r="AB151" s="10">
        <f t="shared" si="66"/>
        <v>-8.0000000000000002E-3</v>
      </c>
      <c r="AC151" s="7">
        <v>-0.122091688852657</v>
      </c>
      <c r="AD151" s="10">
        <f>ROUND(R151*(1-(Exhaust!$B$2+AC151)),2)</f>
        <v>0</v>
      </c>
      <c r="AE151" s="10">
        <f>ROUND(S151*(1-(Exhaust!$B$3+$AC151)),2)</f>
        <v>9.39</v>
      </c>
      <c r="AF151" s="7">
        <f>ROUND(T151*(1-(Exhaust!$B$4+$AC151)),2)</f>
        <v>2.79</v>
      </c>
      <c r="AG151" s="10">
        <f>ROUND($AD151*(SUMIFS(PrefFlows!$C:$C,PrefFlows!$A:$A,$R$1,PrefFlows!$B:$B,$B151)+$AB151)+$AE151*(SUMIFS(PrefFlows!$C:$C,PrefFlows!$A:$A,$S$1,PrefFlows!$B:$B,$B151)+$AB151)+$AF151*(SUMIFS(PrefFlows!$C:$C,PrefFlows!$A:$A,$T$1,PrefFlows!$B:$B,$B151)+$AB151),2)</f>
        <v>2.95</v>
      </c>
      <c r="AH151" s="7">
        <f>ROUND($AD151*(1-(SUMIFS(PrefFlows!$C:$C,PrefFlows!$A:$A,$R$1,PrefFlows!$B:$B,$B151)+$AB151))+$AE151*(1-(SUMIFS(PrefFlows!$C:$C,PrefFlows!$A:$A,$S$1,PrefFlows!$B:$B,$B151)+$AB151))+$AF151*(1-(SUMIFS(PrefFlows!$C:$C,PrefFlows!$A:$A,$T$1,PrefFlows!$B:$B,$B151)+$AB151)),2)</f>
        <v>9.23</v>
      </c>
      <c r="AI151" s="10">
        <f t="shared" si="67"/>
        <v>31.65</v>
      </c>
      <c r="AJ151" s="7">
        <f t="shared" si="68"/>
        <v>63.05</v>
      </c>
      <c r="AK151" s="10">
        <f t="shared" si="69"/>
        <v>33.42</v>
      </c>
      <c r="AL151" s="7">
        <f t="shared" si="69"/>
        <v>66.58</v>
      </c>
      <c r="AM151" s="1">
        <f t="shared" si="52"/>
        <v>-16.899999999999999</v>
      </c>
      <c r="AN151" s="1">
        <f t="shared" si="53"/>
        <v>-16.170000000000002</v>
      </c>
      <c r="AO151" s="7">
        <f t="shared" si="54"/>
        <v>-16.579999999999998</v>
      </c>
      <c r="AP151" s="1" t="b">
        <f t="shared" si="70"/>
        <v>0</v>
      </c>
      <c r="AQ151" s="1" t="b">
        <f t="shared" si="70"/>
        <v>0</v>
      </c>
      <c r="AR151" s="7" t="b">
        <f t="shared" si="71"/>
        <v>0</v>
      </c>
      <c r="AS151" s="1">
        <f t="shared" si="72"/>
        <v>0.72999999999999687</v>
      </c>
      <c r="AT151" s="1">
        <f t="shared" si="72"/>
        <v>0.32000000000000028</v>
      </c>
      <c r="AU151" s="7">
        <f t="shared" si="73"/>
        <v>0.40999999999999659</v>
      </c>
      <c r="AV151" s="1">
        <f>ROUND(IF(B151="NSW",N151*Meta!$B$6,N151),1)</f>
        <v>4772</v>
      </c>
      <c r="AW151" s="7">
        <f t="shared" si="55"/>
        <v>79441.600000000006</v>
      </c>
    </row>
    <row r="152" spans="1:49" x14ac:dyDescent="0.55000000000000004">
      <c r="A152" s="11"/>
      <c r="D152" s="10"/>
      <c r="E152" s="10"/>
      <c r="F152" s="10"/>
      <c r="G152" s="10"/>
      <c r="H152" s="10"/>
      <c r="I152" s="10"/>
      <c r="K152" s="10">
        <f>ROUND(SUMPRODUCT(K2:K151,$O2:$O151)/SUM($O2:$O151),2)</f>
        <v>52.74</v>
      </c>
      <c r="L152" s="7">
        <f>ROUND(SUMPRODUCT(L2:L151,$O2:$O151)/SUM($O2:$O151),2)</f>
        <v>47.26</v>
      </c>
      <c r="N152" s="10">
        <f>SUM(N2:N151)/SUM($M$2:$M$151)</f>
        <v>5.178890169253976E-2</v>
      </c>
      <c r="P152" s="10"/>
      <c r="Q152" s="10"/>
      <c r="R152" s="10"/>
      <c r="S152" s="10"/>
      <c r="V152" s="10"/>
      <c r="W152" s="7"/>
      <c r="X152" s="10"/>
      <c r="Y152" s="7"/>
      <c r="Z152" s="10"/>
      <c r="AA152" s="10"/>
      <c r="AB152" s="10"/>
      <c r="AD152" s="10"/>
      <c r="AE152" s="10"/>
      <c r="AG152" s="10"/>
      <c r="AH152" s="7"/>
      <c r="AI152" s="10"/>
      <c r="AJ152" s="7"/>
      <c r="AK152" s="10">
        <f>ROUND(SUMPRODUCT(AK2:AK151,$AW2:$AW151)/SUM($AW2:$AW151),2)</f>
        <v>53.57</v>
      </c>
      <c r="AL152" s="7">
        <f>ROUND(SUMPRODUCT(AL2:AL151,$AW2:$AW151)/SUM($AW2:$AW151),2)</f>
        <v>46.43</v>
      </c>
      <c r="AV152" s="1">
        <f>SUM(AV2:AV151)/SUM($M$2:$M$151)</f>
        <v>4.5089896117218448E-2</v>
      </c>
    </row>
    <row r="153" spans="1:49" x14ac:dyDescent="0.55000000000000004">
      <c r="AV153" s="1">
        <f>(1-SUM(Meta!$B$2:$B$4))*N152</f>
        <v>2.7707062405508767E-2</v>
      </c>
    </row>
  </sheetData>
  <conditionalFormatting sqref="AQ1:AR1048576 AP2:AR15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/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176</v>
      </c>
      <c r="B1" s="1" t="s">
        <v>1</v>
      </c>
      <c r="C1" s="1" t="s">
        <v>177</v>
      </c>
    </row>
    <row r="2" spans="1:3" x14ac:dyDescent="0.55000000000000004">
      <c r="A2" s="1" t="s">
        <v>166</v>
      </c>
      <c r="B2" s="1" t="s">
        <v>13</v>
      </c>
      <c r="C2" s="1">
        <v>0.91669999999999996</v>
      </c>
    </row>
    <row r="3" spans="1:3" x14ac:dyDescent="0.55000000000000004">
      <c r="A3" s="1" t="s">
        <v>167</v>
      </c>
      <c r="B3" s="1" t="s">
        <v>13</v>
      </c>
      <c r="C3" s="1">
        <v>0.9143</v>
      </c>
    </row>
    <row r="4" spans="1:3" x14ac:dyDescent="0.55000000000000004">
      <c r="A4" s="1" t="s">
        <v>4</v>
      </c>
      <c r="B4" s="1" t="s">
        <v>13</v>
      </c>
      <c r="C4" s="1">
        <v>0.17680000000000001</v>
      </c>
    </row>
    <row r="5" spans="1:3" x14ac:dyDescent="0.55000000000000004">
      <c r="A5" s="1" t="s">
        <v>178</v>
      </c>
      <c r="B5" s="1" t="s">
        <v>13</v>
      </c>
      <c r="C5" s="1">
        <v>0.53400000000000003</v>
      </c>
    </row>
    <row r="6" spans="1:3" x14ac:dyDescent="0.55000000000000004">
      <c r="A6" s="1" t="s">
        <v>5</v>
      </c>
      <c r="B6" s="1" t="s">
        <v>13</v>
      </c>
      <c r="C6" s="1">
        <v>0.5252</v>
      </c>
    </row>
    <row r="7" spans="1:3" x14ac:dyDescent="0.55000000000000004">
      <c r="A7" s="1" t="s">
        <v>166</v>
      </c>
      <c r="B7" s="1" t="s">
        <v>10</v>
      </c>
      <c r="C7" s="1" t="s">
        <v>179</v>
      </c>
    </row>
    <row r="8" spans="1:3" x14ac:dyDescent="0.55000000000000004">
      <c r="A8" s="1" t="s">
        <v>167</v>
      </c>
      <c r="B8" s="1" t="s">
        <v>10</v>
      </c>
      <c r="C8" s="1">
        <v>0.88890000000000002</v>
      </c>
    </row>
    <row r="9" spans="1:3" x14ac:dyDescent="0.55000000000000004">
      <c r="A9" s="1" t="s">
        <v>4</v>
      </c>
      <c r="B9" s="1" t="s">
        <v>10</v>
      </c>
      <c r="C9" s="1">
        <v>0.1686</v>
      </c>
    </row>
    <row r="10" spans="1:3" x14ac:dyDescent="0.55000000000000004">
      <c r="A10" s="1" t="s">
        <v>178</v>
      </c>
      <c r="B10" s="1" t="s">
        <v>10</v>
      </c>
      <c r="C10" s="1">
        <v>0.57169999999999999</v>
      </c>
    </row>
    <row r="11" spans="1:3" x14ac:dyDescent="0.55000000000000004">
      <c r="A11" s="1" t="s">
        <v>5</v>
      </c>
      <c r="B11" s="1" t="s">
        <v>10</v>
      </c>
      <c r="C11" s="1">
        <v>0.5252</v>
      </c>
    </row>
    <row r="12" spans="1:3" x14ac:dyDescent="0.55000000000000004">
      <c r="A12" s="1" t="s">
        <v>166</v>
      </c>
      <c r="B12" s="1" t="s">
        <v>23</v>
      </c>
      <c r="C12" s="1">
        <v>0.81930000000000003</v>
      </c>
    </row>
    <row r="13" spans="1:3" x14ac:dyDescent="0.55000000000000004">
      <c r="A13" s="1" t="s">
        <v>167</v>
      </c>
      <c r="B13" s="1" t="s">
        <v>23</v>
      </c>
      <c r="C13" s="1">
        <v>0.84150000000000003</v>
      </c>
    </row>
    <row r="14" spans="1:3" x14ac:dyDescent="0.55000000000000004">
      <c r="A14" s="1" t="s">
        <v>4</v>
      </c>
      <c r="B14" s="1" t="s">
        <v>23</v>
      </c>
      <c r="C14" s="1">
        <v>0.25119999999999998</v>
      </c>
    </row>
    <row r="15" spans="1:3" x14ac:dyDescent="0.55000000000000004">
      <c r="A15" s="1" t="s">
        <v>178</v>
      </c>
      <c r="B15" s="1" t="s">
        <v>23</v>
      </c>
      <c r="C15" s="1">
        <v>0.59809999999999997</v>
      </c>
    </row>
    <row r="16" spans="1:3" x14ac:dyDescent="0.55000000000000004">
      <c r="A16" s="1" t="s">
        <v>5</v>
      </c>
      <c r="B16" s="1" t="s">
        <v>23</v>
      </c>
      <c r="C16" s="1">
        <v>0.50760000000000005</v>
      </c>
    </row>
    <row r="17" spans="1:3" x14ac:dyDescent="0.55000000000000004">
      <c r="A17" s="1" t="s">
        <v>166</v>
      </c>
      <c r="B17" s="1" t="s">
        <v>31</v>
      </c>
      <c r="C17" s="1" t="s">
        <v>179</v>
      </c>
    </row>
    <row r="18" spans="1:3" x14ac:dyDescent="0.55000000000000004">
      <c r="A18" s="1" t="s">
        <v>167</v>
      </c>
      <c r="B18" s="1" t="s">
        <v>31</v>
      </c>
      <c r="C18" s="1">
        <v>0.87270000000000003</v>
      </c>
    </row>
    <row r="19" spans="1:3" x14ac:dyDescent="0.55000000000000004">
      <c r="A19" s="1" t="s">
        <v>4</v>
      </c>
      <c r="B19" s="1" t="s">
        <v>31</v>
      </c>
      <c r="C19" s="1">
        <v>0.22650000000000001</v>
      </c>
    </row>
    <row r="20" spans="1:3" x14ac:dyDescent="0.55000000000000004">
      <c r="A20" s="1" t="s">
        <v>178</v>
      </c>
      <c r="B20" s="1" t="s">
        <v>31</v>
      </c>
      <c r="C20" s="1">
        <v>0.5726</v>
      </c>
    </row>
    <row r="21" spans="1:3" x14ac:dyDescent="0.55000000000000004">
      <c r="A21" s="1" t="s">
        <v>5</v>
      </c>
      <c r="B21" s="1" t="s">
        <v>31</v>
      </c>
      <c r="C21" s="1">
        <v>0.51680000000000004</v>
      </c>
    </row>
    <row r="22" spans="1:3" x14ac:dyDescent="0.55000000000000004">
      <c r="A22" s="1" t="s">
        <v>166</v>
      </c>
      <c r="B22" s="1" t="s">
        <v>8</v>
      </c>
      <c r="C22" s="1" t="s">
        <v>179</v>
      </c>
    </row>
    <row r="23" spans="1:3" x14ac:dyDescent="0.55000000000000004">
      <c r="A23" s="1" t="s">
        <v>167</v>
      </c>
      <c r="B23" s="1" t="s">
        <v>8</v>
      </c>
      <c r="C23" s="1">
        <v>0.8034</v>
      </c>
    </row>
    <row r="24" spans="1:3" x14ac:dyDescent="0.55000000000000004">
      <c r="A24" s="1" t="s">
        <v>4</v>
      </c>
      <c r="B24" s="1" t="s">
        <v>8</v>
      </c>
      <c r="C24" s="1">
        <v>0.2082</v>
      </c>
    </row>
    <row r="25" spans="1:3" x14ac:dyDescent="0.55000000000000004">
      <c r="A25" s="1" t="s">
        <v>178</v>
      </c>
      <c r="B25" s="1" t="s">
        <v>8</v>
      </c>
      <c r="C25" s="1">
        <v>0.55100000000000005</v>
      </c>
    </row>
    <row r="26" spans="1:3" x14ac:dyDescent="0.55000000000000004">
      <c r="A26" s="1" t="s">
        <v>5</v>
      </c>
      <c r="B26" s="1" t="s">
        <v>8</v>
      </c>
      <c r="C26" s="1">
        <v>0.5121</v>
      </c>
    </row>
    <row r="27" spans="1:3" x14ac:dyDescent="0.55000000000000004">
      <c r="A27" s="1" t="s">
        <v>166</v>
      </c>
      <c r="B27" s="1" t="s">
        <v>17</v>
      </c>
      <c r="C27" s="1" t="s">
        <v>179</v>
      </c>
    </row>
    <row r="28" spans="1:3" x14ac:dyDescent="0.55000000000000004">
      <c r="A28" s="1" t="s">
        <v>167</v>
      </c>
      <c r="B28" s="1" t="s">
        <v>17</v>
      </c>
      <c r="C28" s="1" t="s">
        <v>179</v>
      </c>
    </row>
    <row r="29" spans="1:3" x14ac:dyDescent="0.55000000000000004">
      <c r="A29" s="1" t="s">
        <v>4</v>
      </c>
      <c r="B29" s="1" t="s">
        <v>17</v>
      </c>
      <c r="C29" s="1">
        <v>0.1915</v>
      </c>
    </row>
    <row r="30" spans="1:3" x14ac:dyDescent="0.55000000000000004">
      <c r="A30" s="1" t="s">
        <v>178</v>
      </c>
      <c r="B30" s="1" t="s">
        <v>17</v>
      </c>
      <c r="C30" s="1" t="s">
        <v>179</v>
      </c>
    </row>
    <row r="31" spans="1:3" x14ac:dyDescent="0.55000000000000004">
      <c r="A31" s="1" t="s">
        <v>5</v>
      </c>
      <c r="B31" s="1" t="s">
        <v>17</v>
      </c>
      <c r="C31" s="1">
        <v>0.5373</v>
      </c>
    </row>
    <row r="32" spans="1:3" x14ac:dyDescent="0.55000000000000004">
      <c r="A32" s="1" t="s">
        <v>166</v>
      </c>
      <c r="B32" s="1" t="s">
        <v>37</v>
      </c>
      <c r="C32" s="1" t="s">
        <v>179</v>
      </c>
    </row>
    <row r="33" spans="1:3" x14ac:dyDescent="0.55000000000000004">
      <c r="A33" s="1" t="s">
        <v>167</v>
      </c>
      <c r="B33" s="1" t="s">
        <v>37</v>
      </c>
      <c r="C33" s="1" t="s">
        <v>179</v>
      </c>
    </row>
    <row r="34" spans="1:3" x14ac:dyDescent="0.55000000000000004">
      <c r="A34" s="1" t="s">
        <v>4</v>
      </c>
      <c r="B34" s="1" t="s">
        <v>37</v>
      </c>
      <c r="C34" s="1">
        <v>0.17860000000000001</v>
      </c>
    </row>
    <row r="35" spans="1:3" x14ac:dyDescent="0.55000000000000004">
      <c r="A35" s="1" t="s">
        <v>178</v>
      </c>
      <c r="B35" s="1" t="s">
        <v>37</v>
      </c>
      <c r="C35" s="1" t="s">
        <v>179</v>
      </c>
    </row>
    <row r="36" spans="1:3" x14ac:dyDescent="0.55000000000000004">
      <c r="A36" s="1" t="s">
        <v>5</v>
      </c>
      <c r="B36" s="1" t="s">
        <v>37</v>
      </c>
      <c r="C36" s="1">
        <v>0.55220000000000002</v>
      </c>
    </row>
    <row r="37" spans="1:3" x14ac:dyDescent="0.55000000000000004">
      <c r="A37" s="1" t="s">
        <v>166</v>
      </c>
      <c r="B37" s="1" t="s">
        <v>104</v>
      </c>
      <c r="C37" s="1" t="s">
        <v>179</v>
      </c>
    </row>
    <row r="38" spans="1:3" x14ac:dyDescent="0.55000000000000004">
      <c r="A38" s="1" t="s">
        <v>167</v>
      </c>
      <c r="B38" s="1" t="s">
        <v>104</v>
      </c>
      <c r="C38" s="1" t="s">
        <v>179</v>
      </c>
    </row>
    <row r="39" spans="1:3" x14ac:dyDescent="0.55000000000000004">
      <c r="A39" s="1" t="s">
        <v>4</v>
      </c>
      <c r="B39" s="1" t="s">
        <v>104</v>
      </c>
      <c r="C39" s="1">
        <v>0.20050000000000001</v>
      </c>
    </row>
    <row r="40" spans="1:3" x14ac:dyDescent="0.55000000000000004">
      <c r="A40" s="1" t="s">
        <v>178</v>
      </c>
      <c r="B40" s="1" t="s">
        <v>104</v>
      </c>
      <c r="C40" s="1" t="s">
        <v>179</v>
      </c>
    </row>
    <row r="41" spans="1:3" x14ac:dyDescent="0.55000000000000004">
      <c r="A41" s="1" t="s">
        <v>5</v>
      </c>
      <c r="B41" s="1" t="s">
        <v>104</v>
      </c>
      <c r="C41" s="1">
        <v>0.52080000000000004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C24" sqref="C24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176</v>
      </c>
      <c r="B1" s="1" t="s">
        <v>189</v>
      </c>
    </row>
    <row r="2" spans="1:2" x14ac:dyDescent="0.55000000000000004">
      <c r="A2" s="1" t="s">
        <v>178</v>
      </c>
      <c r="B2" s="1">
        <v>0.56000000000000005</v>
      </c>
    </row>
    <row r="3" spans="1:2" x14ac:dyDescent="0.55000000000000004">
      <c r="A3" s="1" t="s">
        <v>4</v>
      </c>
      <c r="B3" s="1">
        <v>0.4</v>
      </c>
    </row>
    <row r="4" spans="1:2" x14ac:dyDescent="0.55000000000000004">
      <c r="A4" s="1" t="s">
        <v>5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2021-05-01T04:57:27Z</dcterms:modified>
</cp:coreProperties>
</file>