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8ED73D5E-27F7-4C69-85A6-4FF521AE8434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2" i="1" l="1"/>
  <c r="AW153" i="1" s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6" i="2"/>
  <c r="B5" i="2"/>
  <c r="AW152" i="1" l="1"/>
  <c r="P151" i="1" l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N151" i="1" l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T151" i="1" l="1"/>
  <c r="AF151" i="1" s="1"/>
  <c r="S151" i="1"/>
  <c r="AE151" i="1" s="1"/>
  <c r="T150" i="1"/>
  <c r="AF150" i="1" s="1"/>
  <c r="S150" i="1"/>
  <c r="AE150" i="1" s="1"/>
  <c r="T149" i="1"/>
  <c r="AF149" i="1" s="1"/>
  <c r="S149" i="1"/>
  <c r="AE149" i="1" s="1"/>
  <c r="T148" i="1"/>
  <c r="AF148" i="1" s="1"/>
  <c r="S148" i="1"/>
  <c r="AE148" i="1" s="1"/>
  <c r="T147" i="1"/>
  <c r="AF147" i="1" s="1"/>
  <c r="S147" i="1"/>
  <c r="AE147" i="1" s="1"/>
  <c r="T146" i="1"/>
  <c r="AF146" i="1" s="1"/>
  <c r="S146" i="1"/>
  <c r="AE146" i="1" s="1"/>
  <c r="T145" i="1"/>
  <c r="AF145" i="1" s="1"/>
  <c r="S145" i="1"/>
  <c r="AE145" i="1" s="1"/>
  <c r="T144" i="1"/>
  <c r="AF144" i="1" s="1"/>
  <c r="S144" i="1"/>
  <c r="AE144" i="1" s="1"/>
  <c r="T143" i="1"/>
  <c r="AF143" i="1" s="1"/>
  <c r="S143" i="1"/>
  <c r="AE143" i="1" s="1"/>
  <c r="T142" i="1"/>
  <c r="AF142" i="1" s="1"/>
  <c r="S142" i="1"/>
  <c r="AE142" i="1" s="1"/>
  <c r="T141" i="1"/>
  <c r="AF141" i="1" s="1"/>
  <c r="S141" i="1"/>
  <c r="AE141" i="1" s="1"/>
  <c r="T140" i="1"/>
  <c r="AF140" i="1" s="1"/>
  <c r="S140" i="1"/>
  <c r="AE140" i="1" s="1"/>
  <c r="T139" i="1"/>
  <c r="AF139" i="1" s="1"/>
  <c r="S139" i="1"/>
  <c r="AE139" i="1" s="1"/>
  <c r="T138" i="1"/>
  <c r="AF138" i="1" s="1"/>
  <c r="S138" i="1"/>
  <c r="AE138" i="1" s="1"/>
  <c r="T137" i="1"/>
  <c r="AF137" i="1" s="1"/>
  <c r="S137" i="1"/>
  <c r="AE137" i="1" s="1"/>
  <c r="T136" i="1"/>
  <c r="AF136" i="1" s="1"/>
  <c r="S136" i="1"/>
  <c r="AE136" i="1" s="1"/>
  <c r="T135" i="1"/>
  <c r="AF135" i="1" s="1"/>
  <c r="S135" i="1"/>
  <c r="AE135" i="1" s="1"/>
  <c r="T134" i="1"/>
  <c r="AF134" i="1" s="1"/>
  <c r="S134" i="1"/>
  <c r="AE134" i="1" s="1"/>
  <c r="T133" i="1"/>
  <c r="AF133" i="1" s="1"/>
  <c r="S133" i="1"/>
  <c r="AE133" i="1" s="1"/>
  <c r="T132" i="1"/>
  <c r="AF132" i="1" s="1"/>
  <c r="S132" i="1"/>
  <c r="AE132" i="1" s="1"/>
  <c r="T131" i="1"/>
  <c r="AF131" i="1" s="1"/>
  <c r="S131" i="1"/>
  <c r="AE131" i="1" s="1"/>
  <c r="T130" i="1"/>
  <c r="AF130" i="1" s="1"/>
  <c r="S130" i="1"/>
  <c r="AE130" i="1" s="1"/>
  <c r="T129" i="1"/>
  <c r="AF129" i="1" s="1"/>
  <c r="S129" i="1"/>
  <c r="AE129" i="1" s="1"/>
  <c r="T128" i="1"/>
  <c r="AF128" i="1" s="1"/>
  <c r="S128" i="1"/>
  <c r="AE128" i="1" s="1"/>
  <c r="T127" i="1"/>
  <c r="AF127" i="1" s="1"/>
  <c r="S127" i="1"/>
  <c r="AE127" i="1" s="1"/>
  <c r="T126" i="1"/>
  <c r="AF126" i="1" s="1"/>
  <c r="S126" i="1"/>
  <c r="AE126" i="1" s="1"/>
  <c r="T125" i="1"/>
  <c r="AF125" i="1" s="1"/>
  <c r="S125" i="1"/>
  <c r="AE125" i="1" s="1"/>
  <c r="T124" i="1"/>
  <c r="AF124" i="1" s="1"/>
  <c r="S124" i="1"/>
  <c r="AE124" i="1" s="1"/>
  <c r="T123" i="1"/>
  <c r="AF123" i="1" s="1"/>
  <c r="S123" i="1"/>
  <c r="AE123" i="1" s="1"/>
  <c r="T122" i="1"/>
  <c r="AF122" i="1" s="1"/>
  <c r="S122" i="1"/>
  <c r="AE122" i="1" s="1"/>
  <c r="T121" i="1"/>
  <c r="AF121" i="1" s="1"/>
  <c r="S121" i="1"/>
  <c r="AE121" i="1" s="1"/>
  <c r="T120" i="1"/>
  <c r="AF120" i="1" s="1"/>
  <c r="S120" i="1"/>
  <c r="AE120" i="1" s="1"/>
  <c r="T119" i="1"/>
  <c r="AF119" i="1" s="1"/>
  <c r="S119" i="1"/>
  <c r="AE119" i="1" s="1"/>
  <c r="T118" i="1"/>
  <c r="AF118" i="1" s="1"/>
  <c r="S118" i="1"/>
  <c r="AE118" i="1" s="1"/>
  <c r="T117" i="1"/>
  <c r="AF117" i="1" s="1"/>
  <c r="S117" i="1"/>
  <c r="AE117" i="1" s="1"/>
  <c r="T116" i="1"/>
  <c r="AF116" i="1" s="1"/>
  <c r="S116" i="1"/>
  <c r="AE116" i="1" s="1"/>
  <c r="T115" i="1"/>
  <c r="AF115" i="1" s="1"/>
  <c r="S115" i="1"/>
  <c r="AE115" i="1" s="1"/>
  <c r="T114" i="1"/>
  <c r="AF114" i="1" s="1"/>
  <c r="S114" i="1"/>
  <c r="AE114" i="1" s="1"/>
  <c r="T113" i="1"/>
  <c r="AF113" i="1" s="1"/>
  <c r="S113" i="1"/>
  <c r="AE113" i="1" s="1"/>
  <c r="T112" i="1"/>
  <c r="AF112" i="1" s="1"/>
  <c r="S112" i="1"/>
  <c r="AE112" i="1" s="1"/>
  <c r="T111" i="1"/>
  <c r="AF111" i="1" s="1"/>
  <c r="S111" i="1"/>
  <c r="AE111" i="1" s="1"/>
  <c r="T110" i="1"/>
  <c r="AF110" i="1" s="1"/>
  <c r="S110" i="1"/>
  <c r="AE110" i="1" s="1"/>
  <c r="T109" i="1"/>
  <c r="AF109" i="1" s="1"/>
  <c r="S109" i="1"/>
  <c r="AE109" i="1" s="1"/>
  <c r="T108" i="1"/>
  <c r="AF108" i="1" s="1"/>
  <c r="S108" i="1"/>
  <c r="AE108" i="1" s="1"/>
  <c r="T107" i="1"/>
  <c r="AF107" i="1" s="1"/>
  <c r="S107" i="1"/>
  <c r="AE107" i="1" s="1"/>
  <c r="T106" i="1"/>
  <c r="AF106" i="1" s="1"/>
  <c r="S106" i="1"/>
  <c r="AE106" i="1" s="1"/>
  <c r="T105" i="1"/>
  <c r="AF105" i="1" s="1"/>
  <c r="S105" i="1"/>
  <c r="AE105" i="1" s="1"/>
  <c r="T104" i="1"/>
  <c r="AF104" i="1" s="1"/>
  <c r="S104" i="1"/>
  <c r="AE104" i="1" s="1"/>
  <c r="T103" i="1"/>
  <c r="AF103" i="1" s="1"/>
  <c r="S103" i="1"/>
  <c r="AE103" i="1" s="1"/>
  <c r="T102" i="1"/>
  <c r="AF102" i="1" s="1"/>
  <c r="S102" i="1"/>
  <c r="AE102" i="1" s="1"/>
  <c r="T101" i="1"/>
  <c r="AF101" i="1" s="1"/>
  <c r="S101" i="1"/>
  <c r="AE101" i="1" s="1"/>
  <c r="T100" i="1"/>
  <c r="AF100" i="1" s="1"/>
  <c r="S100" i="1"/>
  <c r="AE100" i="1" s="1"/>
  <c r="T99" i="1"/>
  <c r="AF99" i="1" s="1"/>
  <c r="S99" i="1"/>
  <c r="AE99" i="1" s="1"/>
  <c r="T98" i="1"/>
  <c r="AF98" i="1" s="1"/>
  <c r="S98" i="1"/>
  <c r="AE98" i="1" s="1"/>
  <c r="T97" i="1"/>
  <c r="AF97" i="1" s="1"/>
  <c r="S97" i="1"/>
  <c r="AE97" i="1" s="1"/>
  <c r="T96" i="1"/>
  <c r="AF96" i="1" s="1"/>
  <c r="S96" i="1"/>
  <c r="AE96" i="1" s="1"/>
  <c r="T95" i="1"/>
  <c r="AF95" i="1" s="1"/>
  <c r="S95" i="1"/>
  <c r="AE95" i="1" s="1"/>
  <c r="T94" i="1"/>
  <c r="AF94" i="1" s="1"/>
  <c r="S94" i="1"/>
  <c r="AE94" i="1" s="1"/>
  <c r="T93" i="1"/>
  <c r="AF93" i="1" s="1"/>
  <c r="S93" i="1"/>
  <c r="AE93" i="1" s="1"/>
  <c r="T92" i="1"/>
  <c r="AF92" i="1" s="1"/>
  <c r="S92" i="1"/>
  <c r="AE92" i="1" s="1"/>
  <c r="T91" i="1"/>
  <c r="AF91" i="1" s="1"/>
  <c r="S91" i="1"/>
  <c r="AE91" i="1" s="1"/>
  <c r="T90" i="1"/>
  <c r="AF90" i="1" s="1"/>
  <c r="S90" i="1"/>
  <c r="AE90" i="1" s="1"/>
  <c r="T89" i="1"/>
  <c r="AF89" i="1" s="1"/>
  <c r="S89" i="1"/>
  <c r="AE89" i="1" s="1"/>
  <c r="T88" i="1"/>
  <c r="AF88" i="1" s="1"/>
  <c r="S88" i="1"/>
  <c r="AE88" i="1" s="1"/>
  <c r="T87" i="1"/>
  <c r="AF87" i="1" s="1"/>
  <c r="S87" i="1"/>
  <c r="AE87" i="1" s="1"/>
  <c r="T86" i="1"/>
  <c r="AF86" i="1" s="1"/>
  <c r="S86" i="1"/>
  <c r="AE86" i="1" s="1"/>
  <c r="T85" i="1"/>
  <c r="AF85" i="1" s="1"/>
  <c r="S85" i="1"/>
  <c r="AE85" i="1" s="1"/>
  <c r="T84" i="1"/>
  <c r="AF84" i="1" s="1"/>
  <c r="S84" i="1"/>
  <c r="AE84" i="1" s="1"/>
  <c r="T83" i="1"/>
  <c r="AF83" i="1" s="1"/>
  <c r="S83" i="1"/>
  <c r="AE83" i="1" s="1"/>
  <c r="T82" i="1"/>
  <c r="AF82" i="1" s="1"/>
  <c r="S82" i="1"/>
  <c r="AE82" i="1" s="1"/>
  <c r="T81" i="1"/>
  <c r="AF81" i="1" s="1"/>
  <c r="S81" i="1"/>
  <c r="AE81" i="1" s="1"/>
  <c r="T80" i="1"/>
  <c r="AF80" i="1" s="1"/>
  <c r="S80" i="1"/>
  <c r="AE80" i="1" s="1"/>
  <c r="T79" i="1"/>
  <c r="AF79" i="1" s="1"/>
  <c r="S79" i="1"/>
  <c r="AE79" i="1" s="1"/>
  <c r="T78" i="1"/>
  <c r="AF78" i="1" s="1"/>
  <c r="S78" i="1"/>
  <c r="AE78" i="1" s="1"/>
  <c r="T77" i="1"/>
  <c r="AF77" i="1" s="1"/>
  <c r="S77" i="1"/>
  <c r="AE77" i="1" s="1"/>
  <c r="T76" i="1"/>
  <c r="AF76" i="1" s="1"/>
  <c r="S76" i="1"/>
  <c r="AE76" i="1" s="1"/>
  <c r="T75" i="1"/>
  <c r="AF75" i="1" s="1"/>
  <c r="S75" i="1"/>
  <c r="AE75" i="1" s="1"/>
  <c r="T74" i="1"/>
  <c r="AF74" i="1" s="1"/>
  <c r="S74" i="1"/>
  <c r="AE74" i="1" s="1"/>
  <c r="T73" i="1"/>
  <c r="AF73" i="1" s="1"/>
  <c r="S73" i="1"/>
  <c r="AE73" i="1" s="1"/>
  <c r="T72" i="1"/>
  <c r="AF72" i="1" s="1"/>
  <c r="S72" i="1"/>
  <c r="AE72" i="1" s="1"/>
  <c r="T71" i="1"/>
  <c r="AF71" i="1" s="1"/>
  <c r="S71" i="1"/>
  <c r="AE71" i="1" s="1"/>
  <c r="T70" i="1"/>
  <c r="AF70" i="1" s="1"/>
  <c r="S70" i="1"/>
  <c r="AE70" i="1" s="1"/>
  <c r="T69" i="1"/>
  <c r="AF69" i="1" s="1"/>
  <c r="S69" i="1"/>
  <c r="AE69" i="1" s="1"/>
  <c r="T68" i="1"/>
  <c r="AF68" i="1" s="1"/>
  <c r="S68" i="1"/>
  <c r="AE68" i="1" s="1"/>
  <c r="T67" i="1"/>
  <c r="AF67" i="1" s="1"/>
  <c r="S67" i="1"/>
  <c r="AE67" i="1" s="1"/>
  <c r="T66" i="1"/>
  <c r="AF66" i="1" s="1"/>
  <c r="S66" i="1"/>
  <c r="AE66" i="1" s="1"/>
  <c r="T65" i="1"/>
  <c r="AF65" i="1" s="1"/>
  <c r="S65" i="1"/>
  <c r="AE65" i="1" s="1"/>
  <c r="T64" i="1"/>
  <c r="AF64" i="1" s="1"/>
  <c r="S64" i="1"/>
  <c r="AE64" i="1" s="1"/>
  <c r="T63" i="1"/>
  <c r="AF63" i="1" s="1"/>
  <c r="S63" i="1"/>
  <c r="AE63" i="1" s="1"/>
  <c r="T62" i="1"/>
  <c r="AF62" i="1" s="1"/>
  <c r="S62" i="1"/>
  <c r="AE62" i="1" s="1"/>
  <c r="T61" i="1"/>
  <c r="AF61" i="1" s="1"/>
  <c r="S61" i="1"/>
  <c r="AE61" i="1" s="1"/>
  <c r="T60" i="1"/>
  <c r="AF60" i="1" s="1"/>
  <c r="S60" i="1"/>
  <c r="AE60" i="1" s="1"/>
  <c r="T59" i="1"/>
  <c r="AF59" i="1" s="1"/>
  <c r="S59" i="1"/>
  <c r="AE59" i="1" s="1"/>
  <c r="T58" i="1"/>
  <c r="AF58" i="1" s="1"/>
  <c r="S58" i="1"/>
  <c r="AE58" i="1" s="1"/>
  <c r="T57" i="1"/>
  <c r="AF57" i="1" s="1"/>
  <c r="S57" i="1"/>
  <c r="AE57" i="1" s="1"/>
  <c r="T56" i="1"/>
  <c r="AF56" i="1" s="1"/>
  <c r="S56" i="1"/>
  <c r="AE56" i="1" s="1"/>
  <c r="T55" i="1"/>
  <c r="AF55" i="1" s="1"/>
  <c r="S55" i="1"/>
  <c r="AE55" i="1" s="1"/>
  <c r="T54" i="1"/>
  <c r="AF54" i="1" s="1"/>
  <c r="S54" i="1"/>
  <c r="AE54" i="1" s="1"/>
  <c r="T53" i="1"/>
  <c r="AF53" i="1" s="1"/>
  <c r="S53" i="1"/>
  <c r="AE53" i="1" s="1"/>
  <c r="T52" i="1"/>
  <c r="AF52" i="1" s="1"/>
  <c r="S52" i="1"/>
  <c r="T51" i="1"/>
  <c r="AF51" i="1" s="1"/>
  <c r="S51" i="1"/>
  <c r="AE51" i="1" s="1"/>
  <c r="T50" i="1"/>
  <c r="AF50" i="1" s="1"/>
  <c r="S50" i="1"/>
  <c r="AE50" i="1" s="1"/>
  <c r="T49" i="1"/>
  <c r="AF49" i="1" s="1"/>
  <c r="S49" i="1"/>
  <c r="AE49" i="1" s="1"/>
  <c r="T48" i="1"/>
  <c r="AF48" i="1" s="1"/>
  <c r="S48" i="1"/>
  <c r="AE48" i="1" s="1"/>
  <c r="T47" i="1"/>
  <c r="AF47" i="1" s="1"/>
  <c r="S47" i="1"/>
  <c r="AE47" i="1" s="1"/>
  <c r="T46" i="1"/>
  <c r="AF46" i="1" s="1"/>
  <c r="S46" i="1"/>
  <c r="AE46" i="1" s="1"/>
  <c r="T45" i="1"/>
  <c r="AF45" i="1" s="1"/>
  <c r="S45" i="1"/>
  <c r="AE45" i="1" s="1"/>
  <c r="T44" i="1"/>
  <c r="AF44" i="1" s="1"/>
  <c r="S44" i="1"/>
  <c r="AE44" i="1" s="1"/>
  <c r="T43" i="1"/>
  <c r="AF43" i="1" s="1"/>
  <c r="S43" i="1"/>
  <c r="AE43" i="1" s="1"/>
  <c r="T42" i="1"/>
  <c r="AF42" i="1" s="1"/>
  <c r="S42" i="1"/>
  <c r="AE42" i="1" s="1"/>
  <c r="T41" i="1"/>
  <c r="AF41" i="1" s="1"/>
  <c r="S41" i="1"/>
  <c r="AE41" i="1" s="1"/>
  <c r="T40" i="1"/>
  <c r="AF40" i="1" s="1"/>
  <c r="S40" i="1"/>
  <c r="AE40" i="1" s="1"/>
  <c r="T39" i="1"/>
  <c r="AF39" i="1" s="1"/>
  <c r="S39" i="1"/>
  <c r="AE39" i="1" s="1"/>
  <c r="T38" i="1"/>
  <c r="AF38" i="1" s="1"/>
  <c r="S38" i="1"/>
  <c r="AE38" i="1" s="1"/>
  <c r="T37" i="1"/>
  <c r="AF37" i="1" s="1"/>
  <c r="S37" i="1"/>
  <c r="AE37" i="1" s="1"/>
  <c r="T36" i="1"/>
  <c r="AF36" i="1" s="1"/>
  <c r="S36" i="1"/>
  <c r="AE36" i="1" s="1"/>
  <c r="T35" i="1"/>
  <c r="AF35" i="1" s="1"/>
  <c r="S35" i="1"/>
  <c r="AE35" i="1" s="1"/>
  <c r="T34" i="1"/>
  <c r="AF34" i="1" s="1"/>
  <c r="S34" i="1"/>
  <c r="AE34" i="1" s="1"/>
  <c r="T33" i="1"/>
  <c r="AF33" i="1" s="1"/>
  <c r="S33" i="1"/>
  <c r="AE33" i="1" s="1"/>
  <c r="T32" i="1"/>
  <c r="AF32" i="1" s="1"/>
  <c r="S32" i="1"/>
  <c r="AE32" i="1" s="1"/>
  <c r="T31" i="1"/>
  <c r="AF31" i="1" s="1"/>
  <c r="S31" i="1"/>
  <c r="AE31" i="1" s="1"/>
  <c r="T30" i="1"/>
  <c r="AF30" i="1" s="1"/>
  <c r="S30" i="1"/>
  <c r="AE30" i="1" s="1"/>
  <c r="T29" i="1"/>
  <c r="AF29" i="1" s="1"/>
  <c r="S29" i="1"/>
  <c r="AE29" i="1" s="1"/>
  <c r="T28" i="1"/>
  <c r="AF28" i="1" s="1"/>
  <c r="S28" i="1"/>
  <c r="AE28" i="1" s="1"/>
  <c r="T27" i="1"/>
  <c r="AF27" i="1" s="1"/>
  <c r="S27" i="1"/>
  <c r="AE27" i="1" s="1"/>
  <c r="T26" i="1"/>
  <c r="AF26" i="1" s="1"/>
  <c r="S26" i="1"/>
  <c r="AE26" i="1" s="1"/>
  <c r="T25" i="1"/>
  <c r="AF25" i="1" s="1"/>
  <c r="S25" i="1"/>
  <c r="AE25" i="1" s="1"/>
  <c r="T24" i="1"/>
  <c r="AF24" i="1" s="1"/>
  <c r="S24" i="1"/>
  <c r="AE24" i="1" s="1"/>
  <c r="T23" i="1"/>
  <c r="AF23" i="1" s="1"/>
  <c r="S23" i="1"/>
  <c r="AE23" i="1" s="1"/>
  <c r="T22" i="1"/>
  <c r="AF22" i="1" s="1"/>
  <c r="S22" i="1"/>
  <c r="AE22" i="1" s="1"/>
  <c r="T21" i="1"/>
  <c r="AF21" i="1" s="1"/>
  <c r="S21" i="1"/>
  <c r="AE21" i="1" s="1"/>
  <c r="T20" i="1"/>
  <c r="AF20" i="1" s="1"/>
  <c r="S20" i="1"/>
  <c r="AE20" i="1" s="1"/>
  <c r="T19" i="1"/>
  <c r="AF19" i="1" s="1"/>
  <c r="S19" i="1"/>
  <c r="AE19" i="1" s="1"/>
  <c r="T18" i="1"/>
  <c r="AF18" i="1" s="1"/>
  <c r="S18" i="1"/>
  <c r="AE18" i="1" s="1"/>
  <c r="T17" i="1"/>
  <c r="AF17" i="1" s="1"/>
  <c r="S17" i="1"/>
  <c r="AE17" i="1" s="1"/>
  <c r="T16" i="1"/>
  <c r="AF16" i="1" s="1"/>
  <c r="S16" i="1"/>
  <c r="AE16" i="1" s="1"/>
  <c r="T15" i="1"/>
  <c r="AF15" i="1" s="1"/>
  <c r="S15" i="1"/>
  <c r="AE15" i="1" s="1"/>
  <c r="T14" i="1"/>
  <c r="AF14" i="1" s="1"/>
  <c r="S14" i="1"/>
  <c r="AE14" i="1" s="1"/>
  <c r="T13" i="1"/>
  <c r="AF13" i="1" s="1"/>
  <c r="S13" i="1"/>
  <c r="AE13" i="1" s="1"/>
  <c r="T12" i="1"/>
  <c r="AF12" i="1" s="1"/>
  <c r="S12" i="1"/>
  <c r="AE12" i="1" s="1"/>
  <c r="T11" i="1"/>
  <c r="AF11" i="1" s="1"/>
  <c r="S11" i="1"/>
  <c r="AE11" i="1" s="1"/>
  <c r="T10" i="1"/>
  <c r="AF10" i="1" s="1"/>
  <c r="S10" i="1"/>
  <c r="AE10" i="1" s="1"/>
  <c r="T9" i="1"/>
  <c r="AF9" i="1" s="1"/>
  <c r="S9" i="1"/>
  <c r="AE9" i="1" s="1"/>
  <c r="T8" i="1"/>
  <c r="AF8" i="1" s="1"/>
  <c r="S8" i="1"/>
  <c r="AE8" i="1" s="1"/>
  <c r="T7" i="1"/>
  <c r="AF7" i="1" s="1"/>
  <c r="S7" i="1"/>
  <c r="AE7" i="1" s="1"/>
  <c r="T6" i="1"/>
  <c r="AF6" i="1" s="1"/>
  <c r="S6" i="1"/>
  <c r="AE6" i="1" s="1"/>
  <c r="T5" i="1"/>
  <c r="AF5" i="1" s="1"/>
  <c r="S5" i="1"/>
  <c r="AE5" i="1" s="1"/>
  <c r="T4" i="1"/>
  <c r="AF4" i="1" s="1"/>
  <c r="S4" i="1"/>
  <c r="AE4" i="1" s="1"/>
  <c r="T3" i="1"/>
  <c r="AF3" i="1" s="1"/>
  <c r="S3" i="1"/>
  <c r="AE3" i="1" s="1"/>
  <c r="T2" i="1"/>
  <c r="AF2" i="1" s="1"/>
  <c r="S2" i="1"/>
  <c r="AE2" i="1" s="1"/>
  <c r="R151" i="1"/>
  <c r="Q151" i="1"/>
  <c r="Z151" i="1" s="1"/>
  <c r="R150" i="1"/>
  <c r="Q150" i="1"/>
  <c r="Z150" i="1" s="1"/>
  <c r="R149" i="1"/>
  <c r="Q149" i="1"/>
  <c r="Z149" i="1" s="1"/>
  <c r="R148" i="1"/>
  <c r="Q148" i="1"/>
  <c r="Z148" i="1" s="1"/>
  <c r="R147" i="1"/>
  <c r="Q147" i="1"/>
  <c r="Z147" i="1" s="1"/>
  <c r="R146" i="1"/>
  <c r="Q146" i="1"/>
  <c r="Z146" i="1" s="1"/>
  <c r="R145" i="1"/>
  <c r="Q145" i="1"/>
  <c r="Z145" i="1" s="1"/>
  <c r="R144" i="1"/>
  <c r="Q144" i="1"/>
  <c r="Z144" i="1" s="1"/>
  <c r="R143" i="1"/>
  <c r="Q143" i="1"/>
  <c r="Z143" i="1" s="1"/>
  <c r="R142" i="1"/>
  <c r="Q142" i="1"/>
  <c r="Z142" i="1" s="1"/>
  <c r="R141" i="1"/>
  <c r="Q141" i="1"/>
  <c r="Z141" i="1" s="1"/>
  <c r="R140" i="1"/>
  <c r="Q140" i="1"/>
  <c r="Z140" i="1" s="1"/>
  <c r="R139" i="1"/>
  <c r="Q139" i="1"/>
  <c r="Z139" i="1" s="1"/>
  <c r="R138" i="1"/>
  <c r="Q138" i="1"/>
  <c r="Z138" i="1" s="1"/>
  <c r="R137" i="1"/>
  <c r="Q137" i="1"/>
  <c r="Z137" i="1" s="1"/>
  <c r="R136" i="1"/>
  <c r="Q136" i="1"/>
  <c r="Z136" i="1" s="1"/>
  <c r="R135" i="1"/>
  <c r="Q135" i="1"/>
  <c r="Z135" i="1" s="1"/>
  <c r="R134" i="1"/>
  <c r="Q134" i="1"/>
  <c r="Z134" i="1" s="1"/>
  <c r="R133" i="1"/>
  <c r="Q133" i="1"/>
  <c r="Z133" i="1" s="1"/>
  <c r="R132" i="1"/>
  <c r="Q132" i="1"/>
  <c r="Z132" i="1" s="1"/>
  <c r="R131" i="1"/>
  <c r="Q131" i="1"/>
  <c r="Z131" i="1" s="1"/>
  <c r="R130" i="1"/>
  <c r="Q130" i="1"/>
  <c r="Z130" i="1" s="1"/>
  <c r="R129" i="1"/>
  <c r="Q129" i="1"/>
  <c r="Z129" i="1" s="1"/>
  <c r="R128" i="1"/>
  <c r="Q128" i="1"/>
  <c r="Z128" i="1" s="1"/>
  <c r="R127" i="1"/>
  <c r="Q127" i="1"/>
  <c r="Z127" i="1" s="1"/>
  <c r="R126" i="1"/>
  <c r="Q126" i="1"/>
  <c r="Z126" i="1" s="1"/>
  <c r="R125" i="1"/>
  <c r="Q125" i="1"/>
  <c r="Z125" i="1" s="1"/>
  <c r="R124" i="1"/>
  <c r="Q124" i="1"/>
  <c r="Z124" i="1" s="1"/>
  <c r="R123" i="1"/>
  <c r="Q123" i="1"/>
  <c r="Z123" i="1" s="1"/>
  <c r="R122" i="1"/>
  <c r="Q122" i="1"/>
  <c r="Z122" i="1" s="1"/>
  <c r="R121" i="1"/>
  <c r="Q121" i="1"/>
  <c r="Z121" i="1" s="1"/>
  <c r="R120" i="1"/>
  <c r="Q120" i="1"/>
  <c r="Z120" i="1" s="1"/>
  <c r="R119" i="1"/>
  <c r="Q119" i="1"/>
  <c r="Z119" i="1" s="1"/>
  <c r="R118" i="1"/>
  <c r="Q118" i="1"/>
  <c r="Z118" i="1" s="1"/>
  <c r="R117" i="1"/>
  <c r="Q117" i="1"/>
  <c r="Z117" i="1" s="1"/>
  <c r="R116" i="1"/>
  <c r="Q116" i="1"/>
  <c r="Z116" i="1" s="1"/>
  <c r="R115" i="1"/>
  <c r="Q115" i="1"/>
  <c r="Z115" i="1" s="1"/>
  <c r="R114" i="1"/>
  <c r="Q114" i="1"/>
  <c r="Z114" i="1" s="1"/>
  <c r="R113" i="1"/>
  <c r="Q113" i="1"/>
  <c r="Z113" i="1" s="1"/>
  <c r="R112" i="1"/>
  <c r="Q112" i="1"/>
  <c r="Z112" i="1" s="1"/>
  <c r="R111" i="1"/>
  <c r="Q111" i="1"/>
  <c r="Z111" i="1" s="1"/>
  <c r="R110" i="1"/>
  <c r="Q110" i="1"/>
  <c r="Z110" i="1" s="1"/>
  <c r="R109" i="1"/>
  <c r="Q109" i="1"/>
  <c r="Z109" i="1" s="1"/>
  <c r="R108" i="1"/>
  <c r="Q108" i="1"/>
  <c r="Z108" i="1" s="1"/>
  <c r="R107" i="1"/>
  <c r="Q107" i="1"/>
  <c r="Z107" i="1" s="1"/>
  <c r="R106" i="1"/>
  <c r="Q106" i="1"/>
  <c r="Z106" i="1" s="1"/>
  <c r="R105" i="1"/>
  <c r="Q105" i="1"/>
  <c r="Z105" i="1" s="1"/>
  <c r="R104" i="1"/>
  <c r="Q104" i="1"/>
  <c r="Z104" i="1" s="1"/>
  <c r="R103" i="1"/>
  <c r="Q103" i="1"/>
  <c r="Z103" i="1" s="1"/>
  <c r="R102" i="1"/>
  <c r="Q102" i="1"/>
  <c r="Z102" i="1" s="1"/>
  <c r="R101" i="1"/>
  <c r="Q101" i="1"/>
  <c r="Z101" i="1" s="1"/>
  <c r="R100" i="1"/>
  <c r="Q100" i="1"/>
  <c r="Z100" i="1" s="1"/>
  <c r="R99" i="1"/>
  <c r="Q99" i="1"/>
  <c r="Z99" i="1" s="1"/>
  <c r="R98" i="1"/>
  <c r="Q98" i="1"/>
  <c r="Z98" i="1" s="1"/>
  <c r="R97" i="1"/>
  <c r="Q97" i="1"/>
  <c r="Z97" i="1" s="1"/>
  <c r="R96" i="1"/>
  <c r="Q96" i="1"/>
  <c r="Z96" i="1" s="1"/>
  <c r="R95" i="1"/>
  <c r="Q95" i="1"/>
  <c r="Z95" i="1" s="1"/>
  <c r="R94" i="1"/>
  <c r="Q94" i="1"/>
  <c r="Z94" i="1" s="1"/>
  <c r="R93" i="1"/>
  <c r="Q93" i="1"/>
  <c r="Z93" i="1" s="1"/>
  <c r="R92" i="1"/>
  <c r="Q92" i="1"/>
  <c r="Z92" i="1" s="1"/>
  <c r="R91" i="1"/>
  <c r="Q91" i="1"/>
  <c r="Z91" i="1" s="1"/>
  <c r="R90" i="1"/>
  <c r="Q90" i="1"/>
  <c r="Z90" i="1" s="1"/>
  <c r="R89" i="1"/>
  <c r="Q89" i="1"/>
  <c r="Z89" i="1" s="1"/>
  <c r="R88" i="1"/>
  <c r="Q88" i="1"/>
  <c r="Z88" i="1" s="1"/>
  <c r="R87" i="1"/>
  <c r="Q87" i="1"/>
  <c r="Z87" i="1" s="1"/>
  <c r="R86" i="1"/>
  <c r="Q86" i="1"/>
  <c r="Z86" i="1" s="1"/>
  <c r="R85" i="1"/>
  <c r="Q85" i="1"/>
  <c r="Z85" i="1" s="1"/>
  <c r="R84" i="1"/>
  <c r="Q84" i="1"/>
  <c r="Z84" i="1" s="1"/>
  <c r="R83" i="1"/>
  <c r="Q83" i="1"/>
  <c r="Z83" i="1" s="1"/>
  <c r="R82" i="1"/>
  <c r="Q82" i="1"/>
  <c r="Z82" i="1" s="1"/>
  <c r="R81" i="1"/>
  <c r="Q81" i="1"/>
  <c r="Z81" i="1" s="1"/>
  <c r="R80" i="1"/>
  <c r="Q80" i="1"/>
  <c r="Z80" i="1" s="1"/>
  <c r="R79" i="1"/>
  <c r="Q79" i="1"/>
  <c r="Z79" i="1" s="1"/>
  <c r="R78" i="1"/>
  <c r="Q78" i="1"/>
  <c r="Z78" i="1" s="1"/>
  <c r="R77" i="1"/>
  <c r="Q77" i="1"/>
  <c r="Z77" i="1" s="1"/>
  <c r="R76" i="1"/>
  <c r="Q76" i="1"/>
  <c r="Z76" i="1" s="1"/>
  <c r="R75" i="1"/>
  <c r="Q75" i="1"/>
  <c r="Z75" i="1" s="1"/>
  <c r="R74" i="1"/>
  <c r="Q74" i="1"/>
  <c r="Z74" i="1" s="1"/>
  <c r="R73" i="1"/>
  <c r="Q73" i="1"/>
  <c r="Z73" i="1" s="1"/>
  <c r="R72" i="1"/>
  <c r="Q72" i="1"/>
  <c r="Z72" i="1" s="1"/>
  <c r="R71" i="1"/>
  <c r="Q71" i="1"/>
  <c r="Z71" i="1" s="1"/>
  <c r="R70" i="1"/>
  <c r="Q70" i="1"/>
  <c r="Z70" i="1" s="1"/>
  <c r="R69" i="1"/>
  <c r="Q69" i="1"/>
  <c r="Z69" i="1" s="1"/>
  <c r="R68" i="1"/>
  <c r="Q68" i="1"/>
  <c r="Z68" i="1" s="1"/>
  <c r="R67" i="1"/>
  <c r="Q67" i="1"/>
  <c r="Z67" i="1" s="1"/>
  <c r="R66" i="1"/>
  <c r="Q66" i="1"/>
  <c r="Z66" i="1" s="1"/>
  <c r="R65" i="1"/>
  <c r="Q65" i="1"/>
  <c r="Z65" i="1" s="1"/>
  <c r="R64" i="1"/>
  <c r="Q64" i="1"/>
  <c r="Z64" i="1" s="1"/>
  <c r="R63" i="1"/>
  <c r="Q63" i="1"/>
  <c r="Z63" i="1" s="1"/>
  <c r="R62" i="1"/>
  <c r="Q62" i="1"/>
  <c r="Z62" i="1" s="1"/>
  <c r="R61" i="1"/>
  <c r="Q61" i="1"/>
  <c r="Z61" i="1" s="1"/>
  <c r="R60" i="1"/>
  <c r="Q60" i="1"/>
  <c r="Z60" i="1" s="1"/>
  <c r="R59" i="1"/>
  <c r="Q59" i="1"/>
  <c r="Z59" i="1" s="1"/>
  <c r="R58" i="1"/>
  <c r="Q58" i="1"/>
  <c r="Z58" i="1" s="1"/>
  <c r="R57" i="1"/>
  <c r="Q57" i="1"/>
  <c r="Z57" i="1" s="1"/>
  <c r="R56" i="1"/>
  <c r="Q56" i="1"/>
  <c r="Z56" i="1" s="1"/>
  <c r="R55" i="1"/>
  <c r="Q55" i="1"/>
  <c r="Z55" i="1" s="1"/>
  <c r="R54" i="1"/>
  <c r="Q54" i="1"/>
  <c r="Z54" i="1" s="1"/>
  <c r="R53" i="1"/>
  <c r="Q53" i="1"/>
  <c r="Z53" i="1" s="1"/>
  <c r="R52" i="1"/>
  <c r="Q52" i="1"/>
  <c r="Z52" i="1" s="1"/>
  <c r="R51" i="1"/>
  <c r="Q51" i="1"/>
  <c r="Z51" i="1" s="1"/>
  <c r="R50" i="1"/>
  <c r="Q50" i="1"/>
  <c r="Z50" i="1" s="1"/>
  <c r="R49" i="1"/>
  <c r="Q49" i="1"/>
  <c r="Z49" i="1" s="1"/>
  <c r="R48" i="1"/>
  <c r="Q48" i="1"/>
  <c r="Z48" i="1" s="1"/>
  <c r="R47" i="1"/>
  <c r="Q47" i="1"/>
  <c r="Z47" i="1" s="1"/>
  <c r="R46" i="1"/>
  <c r="Q46" i="1"/>
  <c r="Z46" i="1" s="1"/>
  <c r="R45" i="1"/>
  <c r="Q45" i="1"/>
  <c r="Z45" i="1" s="1"/>
  <c r="R44" i="1"/>
  <c r="Q44" i="1"/>
  <c r="Z44" i="1" s="1"/>
  <c r="R43" i="1"/>
  <c r="Q43" i="1"/>
  <c r="Z43" i="1" s="1"/>
  <c r="R42" i="1"/>
  <c r="Q42" i="1"/>
  <c r="Z42" i="1" s="1"/>
  <c r="R41" i="1"/>
  <c r="Q41" i="1"/>
  <c r="Z41" i="1" s="1"/>
  <c r="R40" i="1"/>
  <c r="Q40" i="1"/>
  <c r="Z40" i="1" s="1"/>
  <c r="R39" i="1"/>
  <c r="Q39" i="1"/>
  <c r="Z39" i="1" s="1"/>
  <c r="R38" i="1"/>
  <c r="Q38" i="1"/>
  <c r="Z38" i="1" s="1"/>
  <c r="R37" i="1"/>
  <c r="Q37" i="1"/>
  <c r="Z37" i="1" s="1"/>
  <c r="R36" i="1"/>
  <c r="Q36" i="1"/>
  <c r="Z36" i="1" s="1"/>
  <c r="R35" i="1"/>
  <c r="Q35" i="1"/>
  <c r="Z35" i="1" s="1"/>
  <c r="R34" i="1"/>
  <c r="Q34" i="1"/>
  <c r="Z34" i="1" s="1"/>
  <c r="R33" i="1"/>
  <c r="Q33" i="1"/>
  <c r="Z33" i="1" s="1"/>
  <c r="R32" i="1"/>
  <c r="Q32" i="1"/>
  <c r="Z32" i="1" s="1"/>
  <c r="R31" i="1"/>
  <c r="Q31" i="1"/>
  <c r="Z31" i="1" s="1"/>
  <c r="R30" i="1"/>
  <c r="Q30" i="1"/>
  <c r="Z30" i="1" s="1"/>
  <c r="R29" i="1"/>
  <c r="Q29" i="1"/>
  <c r="Z29" i="1" s="1"/>
  <c r="R28" i="1"/>
  <c r="Q28" i="1"/>
  <c r="Z28" i="1" s="1"/>
  <c r="R27" i="1"/>
  <c r="Q27" i="1"/>
  <c r="Z27" i="1" s="1"/>
  <c r="R26" i="1"/>
  <c r="Q26" i="1"/>
  <c r="Z26" i="1" s="1"/>
  <c r="R25" i="1"/>
  <c r="Q25" i="1"/>
  <c r="Z25" i="1" s="1"/>
  <c r="R24" i="1"/>
  <c r="Q24" i="1"/>
  <c r="Z24" i="1" s="1"/>
  <c r="R23" i="1"/>
  <c r="Q23" i="1"/>
  <c r="Z23" i="1" s="1"/>
  <c r="R22" i="1"/>
  <c r="Q22" i="1"/>
  <c r="Z22" i="1" s="1"/>
  <c r="R21" i="1"/>
  <c r="Q21" i="1"/>
  <c r="Z21" i="1" s="1"/>
  <c r="R20" i="1"/>
  <c r="Q20" i="1"/>
  <c r="Z20" i="1" s="1"/>
  <c r="R19" i="1"/>
  <c r="Q19" i="1"/>
  <c r="Z19" i="1" s="1"/>
  <c r="R18" i="1"/>
  <c r="Q18" i="1"/>
  <c r="Z18" i="1" s="1"/>
  <c r="R17" i="1"/>
  <c r="Q17" i="1"/>
  <c r="Z17" i="1" s="1"/>
  <c r="R16" i="1"/>
  <c r="Q16" i="1"/>
  <c r="Z16" i="1" s="1"/>
  <c r="R15" i="1"/>
  <c r="Q15" i="1"/>
  <c r="Z15" i="1" s="1"/>
  <c r="R14" i="1"/>
  <c r="Q14" i="1"/>
  <c r="Z14" i="1" s="1"/>
  <c r="R13" i="1"/>
  <c r="Q13" i="1"/>
  <c r="Z13" i="1" s="1"/>
  <c r="R12" i="1"/>
  <c r="Q12" i="1"/>
  <c r="Z12" i="1" s="1"/>
  <c r="R11" i="1"/>
  <c r="Q11" i="1"/>
  <c r="Z11" i="1" s="1"/>
  <c r="R10" i="1"/>
  <c r="Q10" i="1"/>
  <c r="Z10" i="1" s="1"/>
  <c r="R9" i="1"/>
  <c r="Q9" i="1"/>
  <c r="Z9" i="1" s="1"/>
  <c r="R8" i="1"/>
  <c r="Q8" i="1"/>
  <c r="Z8" i="1" s="1"/>
  <c r="R7" i="1"/>
  <c r="Q7" i="1"/>
  <c r="Z7" i="1" s="1"/>
  <c r="R5" i="1"/>
  <c r="Q5" i="1"/>
  <c r="Z5" i="1" s="1"/>
  <c r="R4" i="1"/>
  <c r="Q4" i="1"/>
  <c r="Z4" i="1" s="1"/>
  <c r="R3" i="1"/>
  <c r="Q3" i="1"/>
  <c r="Z3" i="1" s="1"/>
  <c r="R2" i="1"/>
  <c r="Q2" i="1"/>
  <c r="Z2" i="1" s="1"/>
  <c r="Q6" i="1"/>
  <c r="Z6" i="1" s="1"/>
  <c r="R6" i="1"/>
  <c r="J151" i="1"/>
  <c r="U151" i="1" s="1"/>
  <c r="AG151" i="1" s="1"/>
  <c r="J150" i="1"/>
  <c r="U150" i="1" s="1"/>
  <c r="AG150" i="1" s="1"/>
  <c r="J149" i="1"/>
  <c r="U149" i="1" s="1"/>
  <c r="AG149" i="1" s="1"/>
  <c r="J148" i="1"/>
  <c r="U148" i="1" s="1"/>
  <c r="AG148" i="1" s="1"/>
  <c r="J147" i="1"/>
  <c r="U147" i="1" s="1"/>
  <c r="AG147" i="1" s="1"/>
  <c r="J146" i="1"/>
  <c r="U146" i="1" s="1"/>
  <c r="AG146" i="1" s="1"/>
  <c r="J145" i="1"/>
  <c r="U145" i="1" s="1"/>
  <c r="AG145" i="1" s="1"/>
  <c r="J144" i="1"/>
  <c r="U144" i="1" s="1"/>
  <c r="AG144" i="1" s="1"/>
  <c r="J143" i="1"/>
  <c r="U143" i="1" s="1"/>
  <c r="AG143" i="1" s="1"/>
  <c r="J142" i="1"/>
  <c r="U142" i="1" s="1"/>
  <c r="AG142" i="1" s="1"/>
  <c r="J141" i="1"/>
  <c r="U141" i="1" s="1"/>
  <c r="AG141" i="1" s="1"/>
  <c r="J140" i="1"/>
  <c r="U140" i="1" s="1"/>
  <c r="AG140" i="1" s="1"/>
  <c r="J139" i="1"/>
  <c r="U139" i="1" s="1"/>
  <c r="AG139" i="1" s="1"/>
  <c r="J138" i="1"/>
  <c r="U138" i="1" s="1"/>
  <c r="AG138" i="1" s="1"/>
  <c r="J137" i="1"/>
  <c r="U137" i="1" s="1"/>
  <c r="AG137" i="1" s="1"/>
  <c r="J136" i="1"/>
  <c r="U136" i="1" s="1"/>
  <c r="AG136" i="1" s="1"/>
  <c r="J135" i="1"/>
  <c r="U135" i="1" s="1"/>
  <c r="AG135" i="1" s="1"/>
  <c r="J134" i="1"/>
  <c r="U134" i="1" s="1"/>
  <c r="AG134" i="1" s="1"/>
  <c r="J133" i="1"/>
  <c r="U133" i="1" s="1"/>
  <c r="AG133" i="1" s="1"/>
  <c r="J132" i="1"/>
  <c r="U132" i="1" s="1"/>
  <c r="AG132" i="1" s="1"/>
  <c r="J131" i="1"/>
  <c r="U131" i="1" s="1"/>
  <c r="AG131" i="1" s="1"/>
  <c r="J130" i="1"/>
  <c r="U130" i="1" s="1"/>
  <c r="AG130" i="1" s="1"/>
  <c r="J129" i="1"/>
  <c r="U129" i="1" s="1"/>
  <c r="AG129" i="1" s="1"/>
  <c r="J128" i="1"/>
  <c r="U128" i="1" s="1"/>
  <c r="AG128" i="1" s="1"/>
  <c r="J127" i="1"/>
  <c r="U127" i="1" s="1"/>
  <c r="AG127" i="1" s="1"/>
  <c r="J126" i="1"/>
  <c r="U126" i="1" s="1"/>
  <c r="AG126" i="1" s="1"/>
  <c r="J125" i="1"/>
  <c r="U125" i="1" s="1"/>
  <c r="AG125" i="1" s="1"/>
  <c r="J124" i="1"/>
  <c r="U124" i="1" s="1"/>
  <c r="AG124" i="1" s="1"/>
  <c r="J123" i="1"/>
  <c r="U123" i="1" s="1"/>
  <c r="AG123" i="1" s="1"/>
  <c r="J122" i="1"/>
  <c r="U122" i="1" s="1"/>
  <c r="AG122" i="1" s="1"/>
  <c r="J121" i="1"/>
  <c r="U121" i="1" s="1"/>
  <c r="AG121" i="1" s="1"/>
  <c r="J120" i="1"/>
  <c r="U120" i="1" s="1"/>
  <c r="AG120" i="1" s="1"/>
  <c r="J119" i="1"/>
  <c r="U119" i="1" s="1"/>
  <c r="AG119" i="1" s="1"/>
  <c r="J118" i="1"/>
  <c r="U118" i="1" s="1"/>
  <c r="AG118" i="1" s="1"/>
  <c r="J117" i="1"/>
  <c r="U117" i="1" s="1"/>
  <c r="AG117" i="1" s="1"/>
  <c r="J116" i="1"/>
  <c r="U116" i="1" s="1"/>
  <c r="AG116" i="1" s="1"/>
  <c r="J115" i="1"/>
  <c r="U115" i="1" s="1"/>
  <c r="AG115" i="1" s="1"/>
  <c r="J114" i="1"/>
  <c r="U114" i="1" s="1"/>
  <c r="AG114" i="1" s="1"/>
  <c r="J113" i="1"/>
  <c r="U113" i="1" s="1"/>
  <c r="AG113" i="1" s="1"/>
  <c r="J112" i="1"/>
  <c r="U112" i="1" s="1"/>
  <c r="AG112" i="1" s="1"/>
  <c r="J111" i="1"/>
  <c r="U111" i="1" s="1"/>
  <c r="AG111" i="1" s="1"/>
  <c r="J110" i="1"/>
  <c r="U110" i="1" s="1"/>
  <c r="AG110" i="1" s="1"/>
  <c r="J109" i="1"/>
  <c r="U109" i="1" s="1"/>
  <c r="AG109" i="1" s="1"/>
  <c r="J108" i="1"/>
  <c r="U108" i="1" s="1"/>
  <c r="AG108" i="1" s="1"/>
  <c r="J107" i="1"/>
  <c r="U107" i="1" s="1"/>
  <c r="AG107" i="1" s="1"/>
  <c r="J106" i="1"/>
  <c r="U106" i="1" s="1"/>
  <c r="AG106" i="1" s="1"/>
  <c r="J105" i="1"/>
  <c r="U105" i="1" s="1"/>
  <c r="AG105" i="1" s="1"/>
  <c r="J104" i="1"/>
  <c r="U104" i="1" s="1"/>
  <c r="J103" i="1"/>
  <c r="U103" i="1" s="1"/>
  <c r="AG103" i="1" s="1"/>
  <c r="J102" i="1"/>
  <c r="U102" i="1" s="1"/>
  <c r="AG102" i="1" s="1"/>
  <c r="J101" i="1"/>
  <c r="U101" i="1" s="1"/>
  <c r="AG101" i="1" s="1"/>
  <c r="J100" i="1"/>
  <c r="U100" i="1" s="1"/>
  <c r="AG100" i="1" s="1"/>
  <c r="J99" i="1"/>
  <c r="U99" i="1" s="1"/>
  <c r="AG99" i="1" s="1"/>
  <c r="J98" i="1"/>
  <c r="U98" i="1" s="1"/>
  <c r="AG98" i="1" s="1"/>
  <c r="J97" i="1"/>
  <c r="U97" i="1" s="1"/>
  <c r="AG97" i="1" s="1"/>
  <c r="J96" i="1"/>
  <c r="U96" i="1" s="1"/>
  <c r="AG96" i="1" s="1"/>
  <c r="J95" i="1"/>
  <c r="U95" i="1" s="1"/>
  <c r="J94" i="1"/>
  <c r="U94" i="1" s="1"/>
  <c r="AG94" i="1" s="1"/>
  <c r="J93" i="1"/>
  <c r="U93" i="1" s="1"/>
  <c r="AG93" i="1" s="1"/>
  <c r="J92" i="1"/>
  <c r="U92" i="1" s="1"/>
  <c r="AG92" i="1" s="1"/>
  <c r="J91" i="1"/>
  <c r="U91" i="1" s="1"/>
  <c r="AG91" i="1" s="1"/>
  <c r="J90" i="1"/>
  <c r="U90" i="1" s="1"/>
  <c r="AG90" i="1" s="1"/>
  <c r="J89" i="1"/>
  <c r="U89" i="1" s="1"/>
  <c r="AG89" i="1" s="1"/>
  <c r="J88" i="1"/>
  <c r="U88" i="1" s="1"/>
  <c r="AG88" i="1" s="1"/>
  <c r="J87" i="1"/>
  <c r="U87" i="1" s="1"/>
  <c r="AG87" i="1" s="1"/>
  <c r="J86" i="1"/>
  <c r="U86" i="1" s="1"/>
  <c r="AG86" i="1" s="1"/>
  <c r="J85" i="1"/>
  <c r="U85" i="1" s="1"/>
  <c r="AG85" i="1" s="1"/>
  <c r="J84" i="1"/>
  <c r="U84" i="1" s="1"/>
  <c r="AG84" i="1" s="1"/>
  <c r="J83" i="1"/>
  <c r="U83" i="1" s="1"/>
  <c r="AG83" i="1" s="1"/>
  <c r="J82" i="1"/>
  <c r="U82" i="1" s="1"/>
  <c r="AG82" i="1" s="1"/>
  <c r="J81" i="1"/>
  <c r="U81" i="1" s="1"/>
  <c r="AG81" i="1" s="1"/>
  <c r="J80" i="1"/>
  <c r="U80" i="1" s="1"/>
  <c r="AG80" i="1" s="1"/>
  <c r="J79" i="1"/>
  <c r="U79" i="1" s="1"/>
  <c r="AG79" i="1" s="1"/>
  <c r="J78" i="1"/>
  <c r="U78" i="1" s="1"/>
  <c r="AG78" i="1" s="1"/>
  <c r="J77" i="1"/>
  <c r="U77" i="1" s="1"/>
  <c r="AG77" i="1" s="1"/>
  <c r="J76" i="1"/>
  <c r="U76" i="1" s="1"/>
  <c r="AG76" i="1" s="1"/>
  <c r="J75" i="1"/>
  <c r="U75" i="1" s="1"/>
  <c r="AG75" i="1" s="1"/>
  <c r="J74" i="1"/>
  <c r="U74" i="1" s="1"/>
  <c r="J73" i="1"/>
  <c r="U73" i="1" s="1"/>
  <c r="AG73" i="1" s="1"/>
  <c r="J72" i="1"/>
  <c r="U72" i="1" s="1"/>
  <c r="AG72" i="1" s="1"/>
  <c r="J71" i="1"/>
  <c r="U71" i="1" s="1"/>
  <c r="AG71" i="1" s="1"/>
  <c r="J70" i="1"/>
  <c r="U70" i="1" s="1"/>
  <c r="AG70" i="1" s="1"/>
  <c r="J69" i="1"/>
  <c r="U69" i="1" s="1"/>
  <c r="AG69" i="1" s="1"/>
  <c r="J68" i="1"/>
  <c r="U68" i="1" s="1"/>
  <c r="AG68" i="1" s="1"/>
  <c r="J67" i="1"/>
  <c r="U67" i="1" s="1"/>
  <c r="AG67" i="1" s="1"/>
  <c r="J66" i="1"/>
  <c r="U66" i="1" s="1"/>
  <c r="AG66" i="1" s="1"/>
  <c r="J65" i="1"/>
  <c r="U65" i="1" s="1"/>
  <c r="AG65" i="1" s="1"/>
  <c r="J64" i="1"/>
  <c r="U64" i="1" s="1"/>
  <c r="AG64" i="1" s="1"/>
  <c r="J63" i="1"/>
  <c r="U63" i="1" s="1"/>
  <c r="AG63" i="1" s="1"/>
  <c r="J62" i="1"/>
  <c r="U62" i="1" s="1"/>
  <c r="AG62" i="1" s="1"/>
  <c r="J61" i="1"/>
  <c r="U61" i="1" s="1"/>
  <c r="AG61" i="1" s="1"/>
  <c r="J60" i="1"/>
  <c r="U60" i="1" s="1"/>
  <c r="AG60" i="1" s="1"/>
  <c r="J59" i="1"/>
  <c r="U59" i="1" s="1"/>
  <c r="AG59" i="1" s="1"/>
  <c r="J58" i="1"/>
  <c r="U58" i="1" s="1"/>
  <c r="AG58" i="1" s="1"/>
  <c r="J57" i="1"/>
  <c r="U57" i="1" s="1"/>
  <c r="AG57" i="1" s="1"/>
  <c r="J56" i="1"/>
  <c r="U56" i="1" s="1"/>
  <c r="AG56" i="1" s="1"/>
  <c r="J55" i="1"/>
  <c r="U55" i="1" s="1"/>
  <c r="AG55" i="1" s="1"/>
  <c r="J54" i="1"/>
  <c r="U54" i="1" s="1"/>
  <c r="AG54" i="1" s="1"/>
  <c r="J53" i="1"/>
  <c r="U53" i="1" s="1"/>
  <c r="AG53" i="1" s="1"/>
  <c r="J52" i="1"/>
  <c r="U52" i="1" s="1"/>
  <c r="AG52" i="1" s="1"/>
  <c r="J51" i="1"/>
  <c r="U51" i="1" s="1"/>
  <c r="AG51" i="1" s="1"/>
  <c r="J50" i="1"/>
  <c r="U50" i="1" s="1"/>
  <c r="AG50" i="1" s="1"/>
  <c r="J49" i="1"/>
  <c r="U49" i="1" s="1"/>
  <c r="AG49" i="1" s="1"/>
  <c r="J48" i="1"/>
  <c r="U48" i="1" s="1"/>
  <c r="AG48" i="1" s="1"/>
  <c r="J47" i="1"/>
  <c r="U47" i="1" s="1"/>
  <c r="AG47" i="1" s="1"/>
  <c r="J46" i="1"/>
  <c r="U46" i="1" s="1"/>
  <c r="AG46" i="1" s="1"/>
  <c r="J45" i="1"/>
  <c r="U45" i="1" s="1"/>
  <c r="AG45" i="1" s="1"/>
  <c r="J44" i="1"/>
  <c r="U44" i="1" s="1"/>
  <c r="AG44" i="1" s="1"/>
  <c r="J43" i="1"/>
  <c r="U43" i="1" s="1"/>
  <c r="AG43" i="1" s="1"/>
  <c r="J42" i="1"/>
  <c r="U42" i="1" s="1"/>
  <c r="AG42" i="1" s="1"/>
  <c r="J41" i="1"/>
  <c r="U41" i="1" s="1"/>
  <c r="AG41" i="1" s="1"/>
  <c r="J40" i="1"/>
  <c r="U40" i="1" s="1"/>
  <c r="AG40" i="1" s="1"/>
  <c r="J39" i="1"/>
  <c r="U39" i="1" s="1"/>
  <c r="AG39" i="1" s="1"/>
  <c r="J38" i="1"/>
  <c r="U38" i="1" s="1"/>
  <c r="AG38" i="1" s="1"/>
  <c r="J37" i="1"/>
  <c r="U37" i="1" s="1"/>
  <c r="AG37" i="1" s="1"/>
  <c r="J36" i="1"/>
  <c r="U36" i="1" s="1"/>
  <c r="AG36" i="1" s="1"/>
  <c r="J35" i="1"/>
  <c r="U35" i="1" s="1"/>
  <c r="AG35" i="1" s="1"/>
  <c r="J34" i="1"/>
  <c r="U34" i="1" s="1"/>
  <c r="AG34" i="1" s="1"/>
  <c r="J33" i="1"/>
  <c r="U33" i="1" s="1"/>
  <c r="AG33" i="1" s="1"/>
  <c r="J32" i="1"/>
  <c r="U32" i="1" s="1"/>
  <c r="AG32" i="1" s="1"/>
  <c r="J31" i="1"/>
  <c r="U31" i="1" s="1"/>
  <c r="AG31" i="1" s="1"/>
  <c r="J30" i="1"/>
  <c r="U30" i="1" s="1"/>
  <c r="AG30" i="1" s="1"/>
  <c r="J29" i="1"/>
  <c r="U29" i="1" s="1"/>
  <c r="AG29" i="1" s="1"/>
  <c r="J28" i="1"/>
  <c r="U28" i="1" s="1"/>
  <c r="AG28" i="1" s="1"/>
  <c r="J27" i="1"/>
  <c r="U27" i="1" s="1"/>
  <c r="AG27" i="1" s="1"/>
  <c r="J26" i="1"/>
  <c r="U26" i="1" s="1"/>
  <c r="AG26" i="1" s="1"/>
  <c r="J25" i="1"/>
  <c r="U25" i="1" s="1"/>
  <c r="AG25" i="1" s="1"/>
  <c r="J24" i="1"/>
  <c r="U24" i="1" s="1"/>
  <c r="AG24" i="1" s="1"/>
  <c r="J23" i="1"/>
  <c r="U23" i="1" s="1"/>
  <c r="AG23" i="1" s="1"/>
  <c r="J22" i="1"/>
  <c r="U22" i="1" s="1"/>
  <c r="AG22" i="1" s="1"/>
  <c r="J21" i="1"/>
  <c r="U21" i="1" s="1"/>
  <c r="AG21" i="1" s="1"/>
  <c r="J20" i="1"/>
  <c r="U20" i="1" s="1"/>
  <c r="AG20" i="1" s="1"/>
  <c r="J19" i="1"/>
  <c r="U19" i="1" s="1"/>
  <c r="AG19" i="1" s="1"/>
  <c r="J18" i="1"/>
  <c r="U18" i="1" s="1"/>
  <c r="AG18" i="1" s="1"/>
  <c r="J17" i="1"/>
  <c r="U17" i="1" s="1"/>
  <c r="AG17" i="1" s="1"/>
  <c r="J16" i="1"/>
  <c r="U16" i="1" s="1"/>
  <c r="AG16" i="1" s="1"/>
  <c r="J15" i="1"/>
  <c r="U15" i="1" s="1"/>
  <c r="AG15" i="1" s="1"/>
  <c r="J14" i="1"/>
  <c r="U14" i="1" s="1"/>
  <c r="AG14" i="1" s="1"/>
  <c r="J13" i="1"/>
  <c r="U13" i="1" s="1"/>
  <c r="AG13" i="1" s="1"/>
  <c r="J12" i="1"/>
  <c r="U12" i="1" s="1"/>
  <c r="AG12" i="1" s="1"/>
  <c r="J11" i="1"/>
  <c r="U11" i="1" s="1"/>
  <c r="AG11" i="1" s="1"/>
  <c r="J10" i="1"/>
  <c r="U10" i="1" s="1"/>
  <c r="AG10" i="1" s="1"/>
  <c r="J9" i="1"/>
  <c r="U9" i="1" s="1"/>
  <c r="AG9" i="1" s="1"/>
  <c r="J8" i="1"/>
  <c r="U8" i="1" s="1"/>
  <c r="AG8" i="1" s="1"/>
  <c r="J7" i="1"/>
  <c r="U7" i="1" s="1"/>
  <c r="AG7" i="1" s="1"/>
  <c r="J6" i="1"/>
  <c r="U6" i="1" s="1"/>
  <c r="AG6" i="1" s="1"/>
  <c r="J5" i="1"/>
  <c r="U5" i="1" s="1"/>
  <c r="AG5" i="1" s="1"/>
  <c r="J4" i="1"/>
  <c r="U4" i="1" s="1"/>
  <c r="AG4" i="1" s="1"/>
  <c r="J3" i="1"/>
  <c r="U3" i="1" s="1"/>
  <c r="AG3" i="1" s="1"/>
  <c r="J2" i="1"/>
  <c r="U2" i="1" s="1"/>
  <c r="AG2" i="1" s="1"/>
  <c r="W52" i="1" l="1"/>
  <c r="AE52" i="1"/>
  <c r="X60" i="1"/>
  <c r="W68" i="1"/>
  <c r="W76" i="1"/>
  <c r="X84" i="1"/>
  <c r="X92" i="1"/>
  <c r="W100" i="1"/>
  <c r="W108" i="1"/>
  <c r="W116" i="1"/>
  <c r="X124" i="1"/>
  <c r="W74" i="1"/>
  <c r="AG74" i="1"/>
  <c r="W104" i="1"/>
  <c r="AG104" i="1"/>
  <c r="W95" i="1"/>
  <c r="AG95" i="1"/>
  <c r="W132" i="1"/>
  <c r="W140" i="1"/>
  <c r="W148" i="1"/>
  <c r="Y150" i="1"/>
  <c r="AO150" i="1" s="1"/>
  <c r="Y135" i="1"/>
  <c r="AO135" i="1" s="1"/>
  <c r="Y139" i="1"/>
  <c r="AB139" i="1" s="1"/>
  <c r="Y143" i="1"/>
  <c r="AO143" i="1" s="1"/>
  <c r="Y147" i="1"/>
  <c r="AO147" i="1" s="1"/>
  <c r="Y151" i="1"/>
  <c r="AO151" i="1" s="1"/>
  <c r="Y128" i="1"/>
  <c r="AO128" i="1" s="1"/>
  <c r="Y132" i="1"/>
  <c r="AO132" i="1" s="1"/>
  <c r="Y136" i="1"/>
  <c r="AB136" i="1" s="1"/>
  <c r="Y140" i="1"/>
  <c r="AO140" i="1" s="1"/>
  <c r="Y144" i="1"/>
  <c r="AO144" i="1" s="1"/>
  <c r="Y148" i="1"/>
  <c r="AO148" i="1" s="1"/>
  <c r="Y133" i="1"/>
  <c r="AB133" i="1" s="1"/>
  <c r="Y137" i="1"/>
  <c r="AO137" i="1" s="1"/>
  <c r="Y141" i="1"/>
  <c r="AO141" i="1" s="1"/>
  <c r="Y149" i="1"/>
  <c r="AO149" i="1" s="1"/>
  <c r="AB150" i="1"/>
  <c r="W144" i="1"/>
  <c r="V145" i="1"/>
  <c r="W72" i="1"/>
  <c r="Y10" i="1"/>
  <c r="AB10" i="1" s="1"/>
  <c r="V10" i="1"/>
  <c r="Y30" i="1"/>
  <c r="AB30" i="1" s="1"/>
  <c r="V30" i="1"/>
  <c r="Y50" i="1"/>
  <c r="AB50" i="1" s="1"/>
  <c r="V50" i="1"/>
  <c r="Y74" i="1"/>
  <c r="AB74" i="1" s="1"/>
  <c r="V74" i="1"/>
  <c r="Y94" i="1"/>
  <c r="AB94" i="1" s="1"/>
  <c r="V94" i="1"/>
  <c r="Y114" i="1"/>
  <c r="AB114" i="1" s="1"/>
  <c r="V114" i="1"/>
  <c r="W17" i="1"/>
  <c r="W41" i="1"/>
  <c r="W49" i="1"/>
  <c r="W57" i="1"/>
  <c r="W73" i="1"/>
  <c r="W81" i="1"/>
  <c r="W89" i="1"/>
  <c r="W97" i="1"/>
  <c r="W128" i="1"/>
  <c r="Y26" i="1"/>
  <c r="AB26" i="1" s="1"/>
  <c r="V26" i="1"/>
  <c r="Y46" i="1"/>
  <c r="AB46" i="1" s="1"/>
  <c r="V46" i="1"/>
  <c r="Y70" i="1"/>
  <c r="AB70" i="1" s="1"/>
  <c r="V70" i="1"/>
  <c r="Y86" i="1"/>
  <c r="AB86" i="1" s="1"/>
  <c r="V86" i="1"/>
  <c r="Y110" i="1"/>
  <c r="AB110" i="1" s="1"/>
  <c r="V110" i="1"/>
  <c r="Y130" i="1"/>
  <c r="AB130" i="1" s="1"/>
  <c r="V130" i="1"/>
  <c r="Y146" i="1"/>
  <c r="AB146" i="1" s="1"/>
  <c r="V146" i="1"/>
  <c r="W9" i="1"/>
  <c r="W25" i="1"/>
  <c r="Y2" i="1"/>
  <c r="AB2" i="1" s="1"/>
  <c r="V2" i="1"/>
  <c r="Y7" i="1"/>
  <c r="AB7" i="1" s="1"/>
  <c r="V7" i="1"/>
  <c r="V11" i="1"/>
  <c r="Y11" i="1"/>
  <c r="AB11" i="1" s="1"/>
  <c r="Y15" i="1"/>
  <c r="AB15" i="1" s="1"/>
  <c r="V15" i="1"/>
  <c r="Y19" i="1"/>
  <c r="AB19" i="1" s="1"/>
  <c r="V19" i="1"/>
  <c r="Y23" i="1"/>
  <c r="AB23" i="1" s="1"/>
  <c r="V23" i="1"/>
  <c r="V27" i="1"/>
  <c r="Y27" i="1"/>
  <c r="AB27" i="1" s="1"/>
  <c r="Y31" i="1"/>
  <c r="AB31" i="1" s="1"/>
  <c r="V31" i="1"/>
  <c r="Y35" i="1"/>
  <c r="AB35" i="1" s="1"/>
  <c r="V35" i="1"/>
  <c r="Y39" i="1"/>
  <c r="AB39" i="1" s="1"/>
  <c r="V39" i="1"/>
  <c r="Y43" i="1"/>
  <c r="AB43" i="1" s="1"/>
  <c r="V43" i="1"/>
  <c r="Y47" i="1"/>
  <c r="AB47" i="1" s="1"/>
  <c r="V47" i="1"/>
  <c r="Y51" i="1"/>
  <c r="AB51" i="1" s="1"/>
  <c r="V51" i="1"/>
  <c r="Y55" i="1"/>
  <c r="AB55" i="1" s="1"/>
  <c r="V55" i="1"/>
  <c r="Y59" i="1"/>
  <c r="AB59" i="1" s="1"/>
  <c r="V59" i="1"/>
  <c r="Y63" i="1"/>
  <c r="AB63" i="1" s="1"/>
  <c r="V63" i="1"/>
  <c r="Y67" i="1"/>
  <c r="AB67" i="1" s="1"/>
  <c r="V67" i="1"/>
  <c r="Y71" i="1"/>
  <c r="AB71" i="1" s="1"/>
  <c r="V71" i="1"/>
  <c r="Y75" i="1"/>
  <c r="AB75" i="1" s="1"/>
  <c r="V75" i="1"/>
  <c r="Y79" i="1"/>
  <c r="AB79" i="1" s="1"/>
  <c r="V79" i="1"/>
  <c r="Y83" i="1"/>
  <c r="AB83" i="1" s="1"/>
  <c r="V83" i="1"/>
  <c r="Y87" i="1"/>
  <c r="AB87" i="1" s="1"/>
  <c r="V87" i="1"/>
  <c r="Y91" i="1"/>
  <c r="AB91" i="1" s="1"/>
  <c r="V91" i="1"/>
  <c r="Y95" i="1"/>
  <c r="AB95" i="1" s="1"/>
  <c r="V95" i="1"/>
  <c r="Y99" i="1"/>
  <c r="AB99" i="1" s="1"/>
  <c r="V99" i="1"/>
  <c r="Y103" i="1"/>
  <c r="AB103" i="1" s="1"/>
  <c r="V103" i="1"/>
  <c r="Y107" i="1"/>
  <c r="AB107" i="1" s="1"/>
  <c r="V107" i="1"/>
  <c r="Y111" i="1"/>
  <c r="AB111" i="1" s="1"/>
  <c r="V111" i="1"/>
  <c r="Y115" i="1"/>
  <c r="AB115" i="1" s="1"/>
  <c r="V115" i="1"/>
  <c r="Y119" i="1"/>
  <c r="AB119" i="1" s="1"/>
  <c r="V119" i="1"/>
  <c r="Y123" i="1"/>
  <c r="AB123" i="1" s="1"/>
  <c r="V123" i="1"/>
  <c r="Y127" i="1"/>
  <c r="AB127" i="1" s="1"/>
  <c r="V127" i="1"/>
  <c r="Y131" i="1"/>
  <c r="AB131" i="1" s="1"/>
  <c r="V131" i="1"/>
  <c r="W113" i="1"/>
  <c r="W121" i="1"/>
  <c r="W129" i="1"/>
  <c r="W137" i="1"/>
  <c r="W145" i="1"/>
  <c r="W64" i="1"/>
  <c r="W120" i="1"/>
  <c r="W136" i="1"/>
  <c r="Y18" i="1"/>
  <c r="AB18" i="1" s="1"/>
  <c r="V18" i="1"/>
  <c r="Y38" i="1"/>
  <c r="AB38" i="1" s="1"/>
  <c r="V38" i="1"/>
  <c r="Y58" i="1"/>
  <c r="AB58" i="1" s="1"/>
  <c r="V58" i="1"/>
  <c r="Y82" i="1"/>
  <c r="AB82" i="1" s="1"/>
  <c r="V82" i="1"/>
  <c r="Y102" i="1"/>
  <c r="AB102" i="1" s="1"/>
  <c r="V102" i="1"/>
  <c r="Y122" i="1"/>
  <c r="AB122" i="1" s="1"/>
  <c r="V122" i="1"/>
  <c r="Y138" i="1"/>
  <c r="AB138" i="1" s="1"/>
  <c r="V138" i="1"/>
  <c r="X10" i="1"/>
  <c r="W42" i="1"/>
  <c r="X50" i="1"/>
  <c r="X58" i="1"/>
  <c r="X66" i="1"/>
  <c r="X74" i="1"/>
  <c r="X82" i="1"/>
  <c r="X90" i="1"/>
  <c r="W94" i="1"/>
  <c r="X98" i="1"/>
  <c r="W102" i="1"/>
  <c r="W106" i="1"/>
  <c r="W110" i="1"/>
  <c r="W114" i="1"/>
  <c r="W118" i="1"/>
  <c r="W122" i="1"/>
  <c r="W126" i="1"/>
  <c r="X130" i="1"/>
  <c r="W134" i="1"/>
  <c r="W138" i="1"/>
  <c r="W142" i="1"/>
  <c r="W146" i="1"/>
  <c r="W150" i="1"/>
  <c r="Y6" i="1"/>
  <c r="AB6" i="1" s="1"/>
  <c r="V6" i="1"/>
  <c r="Y5" i="1"/>
  <c r="AB5" i="1" s="1"/>
  <c r="V5" i="1"/>
  <c r="Y14" i="1"/>
  <c r="AB14" i="1" s="1"/>
  <c r="V14" i="1"/>
  <c r="Y34" i="1"/>
  <c r="AB34" i="1" s="1"/>
  <c r="V34" i="1"/>
  <c r="Y54" i="1"/>
  <c r="AB54" i="1" s="1"/>
  <c r="V54" i="1"/>
  <c r="Y62" i="1"/>
  <c r="AB62" i="1" s="1"/>
  <c r="V62" i="1"/>
  <c r="Y78" i="1"/>
  <c r="AB78" i="1" s="1"/>
  <c r="V78" i="1"/>
  <c r="Y98" i="1"/>
  <c r="AB98" i="1" s="1"/>
  <c r="V98" i="1"/>
  <c r="Y118" i="1"/>
  <c r="AB118" i="1" s="1"/>
  <c r="V118" i="1"/>
  <c r="Y134" i="1"/>
  <c r="AB134" i="1" s="1"/>
  <c r="V134" i="1"/>
  <c r="Y3" i="1"/>
  <c r="AB3" i="1" s="1"/>
  <c r="V3" i="1"/>
  <c r="V8" i="1"/>
  <c r="Y8" i="1"/>
  <c r="AB8" i="1" s="1"/>
  <c r="V12" i="1"/>
  <c r="Y12" i="1"/>
  <c r="AB12" i="1" s="1"/>
  <c r="Y16" i="1"/>
  <c r="AB16" i="1" s="1"/>
  <c r="V16" i="1"/>
  <c r="Y20" i="1"/>
  <c r="AB20" i="1" s="1"/>
  <c r="V20" i="1"/>
  <c r="V24" i="1"/>
  <c r="Y24" i="1"/>
  <c r="AB24" i="1" s="1"/>
  <c r="V28" i="1"/>
  <c r="Y28" i="1"/>
  <c r="AB28" i="1" s="1"/>
  <c r="Y32" i="1"/>
  <c r="AB32" i="1" s="1"/>
  <c r="V32" i="1"/>
  <c r="Y36" i="1"/>
  <c r="AB36" i="1" s="1"/>
  <c r="V36" i="1"/>
  <c r="Y40" i="1"/>
  <c r="AB40" i="1" s="1"/>
  <c r="V40" i="1"/>
  <c r="Y44" i="1"/>
  <c r="AB44" i="1" s="1"/>
  <c r="V44" i="1"/>
  <c r="Y48" i="1"/>
  <c r="AB48" i="1" s="1"/>
  <c r="V48" i="1"/>
  <c r="Y52" i="1"/>
  <c r="AB52" i="1" s="1"/>
  <c r="V52" i="1"/>
  <c r="Y56" i="1"/>
  <c r="AB56" i="1" s="1"/>
  <c r="V56" i="1"/>
  <c r="Y60" i="1"/>
  <c r="AB60" i="1" s="1"/>
  <c r="V60" i="1"/>
  <c r="Y64" i="1"/>
  <c r="AB64" i="1" s="1"/>
  <c r="V64" i="1"/>
  <c r="Y68" i="1"/>
  <c r="AB68" i="1" s="1"/>
  <c r="V68" i="1"/>
  <c r="Y72" i="1"/>
  <c r="AB72" i="1" s="1"/>
  <c r="V72" i="1"/>
  <c r="Y76" i="1"/>
  <c r="AB76" i="1" s="1"/>
  <c r="V76" i="1"/>
  <c r="Y80" i="1"/>
  <c r="AB80" i="1" s="1"/>
  <c r="V80" i="1"/>
  <c r="Y84" i="1"/>
  <c r="AB84" i="1" s="1"/>
  <c r="V84" i="1"/>
  <c r="Y88" i="1"/>
  <c r="AB88" i="1" s="1"/>
  <c r="V88" i="1"/>
  <c r="Y92" i="1"/>
  <c r="AB92" i="1" s="1"/>
  <c r="V92" i="1"/>
  <c r="Y96" i="1"/>
  <c r="AB96" i="1" s="1"/>
  <c r="V96" i="1"/>
  <c r="Y100" i="1"/>
  <c r="AB100" i="1" s="1"/>
  <c r="V100" i="1"/>
  <c r="Y104" i="1"/>
  <c r="AB104" i="1" s="1"/>
  <c r="V104" i="1"/>
  <c r="Y108" i="1"/>
  <c r="AB108" i="1" s="1"/>
  <c r="V108" i="1"/>
  <c r="Y112" i="1"/>
  <c r="AB112" i="1" s="1"/>
  <c r="V112" i="1"/>
  <c r="Y116" i="1"/>
  <c r="AB116" i="1" s="1"/>
  <c r="V116" i="1"/>
  <c r="Y120" i="1"/>
  <c r="AB120" i="1" s="1"/>
  <c r="V120" i="1"/>
  <c r="Y124" i="1"/>
  <c r="AB124" i="1" s="1"/>
  <c r="V124" i="1"/>
  <c r="W31" i="1"/>
  <c r="W59" i="1"/>
  <c r="W83" i="1"/>
  <c r="W91" i="1"/>
  <c r="W99" i="1"/>
  <c r="W112" i="1"/>
  <c r="Y22" i="1"/>
  <c r="AB22" i="1" s="1"/>
  <c r="V22" i="1"/>
  <c r="Y42" i="1"/>
  <c r="AB42" i="1" s="1"/>
  <c r="V42" i="1"/>
  <c r="Y66" i="1"/>
  <c r="AB66" i="1" s="1"/>
  <c r="V66" i="1"/>
  <c r="Y90" i="1"/>
  <c r="AB90" i="1" s="1"/>
  <c r="V90" i="1"/>
  <c r="Y106" i="1"/>
  <c r="AB106" i="1" s="1"/>
  <c r="V106" i="1"/>
  <c r="Y126" i="1"/>
  <c r="AB126" i="1" s="1"/>
  <c r="V126" i="1"/>
  <c r="Y142" i="1"/>
  <c r="AB142" i="1" s="1"/>
  <c r="V142" i="1"/>
  <c r="Y4" i="1"/>
  <c r="AB4" i="1" s="1"/>
  <c r="V4" i="1"/>
  <c r="Y9" i="1"/>
  <c r="AB9" i="1" s="1"/>
  <c r="V9" i="1"/>
  <c r="Y13" i="1"/>
  <c r="AB13" i="1" s="1"/>
  <c r="V13" i="1"/>
  <c r="Y17" i="1"/>
  <c r="AB17" i="1" s="1"/>
  <c r="V17" i="1"/>
  <c r="Y21" i="1"/>
  <c r="AB21" i="1" s="1"/>
  <c r="V21" i="1"/>
  <c r="Y25" i="1"/>
  <c r="AB25" i="1" s="1"/>
  <c r="V25" i="1"/>
  <c r="Y29" i="1"/>
  <c r="AB29" i="1" s="1"/>
  <c r="V29" i="1"/>
  <c r="Y33" i="1"/>
  <c r="AB33" i="1" s="1"/>
  <c r="V33" i="1"/>
  <c r="Y37" i="1"/>
  <c r="AB37" i="1" s="1"/>
  <c r="V37" i="1"/>
  <c r="V41" i="1"/>
  <c r="Y41" i="1"/>
  <c r="AB41" i="1" s="1"/>
  <c r="V45" i="1"/>
  <c r="Y45" i="1"/>
  <c r="AB45" i="1" s="1"/>
  <c r="Y49" i="1"/>
  <c r="AB49" i="1" s="1"/>
  <c r="V49" i="1"/>
  <c r="Y53" i="1"/>
  <c r="AB53" i="1" s="1"/>
  <c r="V53" i="1"/>
  <c r="Y57" i="1"/>
  <c r="AB57" i="1" s="1"/>
  <c r="V57" i="1"/>
  <c r="Y61" i="1"/>
  <c r="AB61" i="1" s="1"/>
  <c r="V61" i="1"/>
  <c r="Y65" i="1"/>
  <c r="AB65" i="1" s="1"/>
  <c r="V65" i="1"/>
  <c r="Y69" i="1"/>
  <c r="AB69" i="1" s="1"/>
  <c r="V69" i="1"/>
  <c r="Y73" i="1"/>
  <c r="AB73" i="1" s="1"/>
  <c r="V73" i="1"/>
  <c r="Y77" i="1"/>
  <c r="AB77" i="1" s="1"/>
  <c r="V77" i="1"/>
  <c r="Y81" i="1"/>
  <c r="AB81" i="1" s="1"/>
  <c r="V81" i="1"/>
  <c r="Y85" i="1"/>
  <c r="AB85" i="1" s="1"/>
  <c r="V85" i="1"/>
  <c r="Y89" i="1"/>
  <c r="AB89" i="1" s="1"/>
  <c r="V89" i="1"/>
  <c r="Y93" i="1"/>
  <c r="AB93" i="1" s="1"/>
  <c r="V93" i="1"/>
  <c r="Y97" i="1"/>
  <c r="AB97" i="1" s="1"/>
  <c r="V97" i="1"/>
  <c r="Y101" i="1"/>
  <c r="AB101" i="1" s="1"/>
  <c r="V101" i="1"/>
  <c r="V105" i="1"/>
  <c r="Y105" i="1"/>
  <c r="AB105" i="1" s="1"/>
  <c r="Y109" i="1"/>
  <c r="AB109" i="1" s="1"/>
  <c r="V109" i="1"/>
  <c r="Y113" i="1"/>
  <c r="AB113" i="1" s="1"/>
  <c r="V113" i="1"/>
  <c r="Y117" i="1"/>
  <c r="AB117" i="1" s="1"/>
  <c r="V117" i="1"/>
  <c r="Y121" i="1"/>
  <c r="AB121" i="1" s="1"/>
  <c r="V121" i="1"/>
  <c r="Y125" i="1"/>
  <c r="AB125" i="1" s="1"/>
  <c r="V125" i="1"/>
  <c r="Y129" i="1"/>
  <c r="AB129" i="1" s="1"/>
  <c r="V129" i="1"/>
  <c r="W51" i="1"/>
  <c r="W4" i="1"/>
  <c r="W12" i="1"/>
  <c r="W20" i="1"/>
  <c r="W28" i="1"/>
  <c r="W36" i="1"/>
  <c r="W44" i="1"/>
  <c r="V150" i="1"/>
  <c r="W84" i="1"/>
  <c r="X4" i="1"/>
  <c r="X36" i="1"/>
  <c r="X68" i="1"/>
  <c r="AA68" i="1" s="1"/>
  <c r="X100" i="1"/>
  <c r="X132" i="1"/>
  <c r="Y145" i="1"/>
  <c r="AB145" i="1" s="1"/>
  <c r="X7" i="1"/>
  <c r="X15" i="1"/>
  <c r="X23" i="1"/>
  <c r="X31" i="1"/>
  <c r="X39" i="1"/>
  <c r="X47" i="1"/>
  <c r="X55" i="1"/>
  <c r="X63" i="1"/>
  <c r="X71" i="1"/>
  <c r="X79" i="1"/>
  <c r="X87" i="1"/>
  <c r="X95" i="1"/>
  <c r="X103" i="1"/>
  <c r="X111" i="1"/>
  <c r="X119" i="1"/>
  <c r="X127" i="1"/>
  <c r="X135" i="1"/>
  <c r="X143" i="1"/>
  <c r="X151" i="1"/>
  <c r="V135" i="1"/>
  <c r="V143" i="1"/>
  <c r="V151" i="1"/>
  <c r="W103" i="1"/>
  <c r="W63" i="1"/>
  <c r="W50" i="1"/>
  <c r="X42" i="1"/>
  <c r="X106" i="1"/>
  <c r="X138" i="1"/>
  <c r="W2" i="1"/>
  <c r="W10" i="1"/>
  <c r="W18" i="1"/>
  <c r="W26" i="1"/>
  <c r="W34" i="1"/>
  <c r="V128" i="1"/>
  <c r="V136" i="1"/>
  <c r="V144" i="1"/>
  <c r="W151" i="1"/>
  <c r="W143" i="1"/>
  <c r="W135" i="1"/>
  <c r="W127" i="1"/>
  <c r="AA127" i="1" s="1"/>
  <c r="W119" i="1"/>
  <c r="W111" i="1"/>
  <c r="W92" i="1"/>
  <c r="W82" i="1"/>
  <c r="W60" i="1"/>
  <c r="AA60" i="1" s="1"/>
  <c r="W23" i="1"/>
  <c r="X12" i="1"/>
  <c r="X44" i="1"/>
  <c r="X76" i="1"/>
  <c r="X108" i="1"/>
  <c r="X140" i="1"/>
  <c r="AA140" i="1" s="1"/>
  <c r="W5" i="1"/>
  <c r="X5" i="1"/>
  <c r="W13" i="1"/>
  <c r="X13" i="1"/>
  <c r="W21" i="1"/>
  <c r="X21" i="1"/>
  <c r="W29" i="1"/>
  <c r="X29" i="1"/>
  <c r="W37" i="1"/>
  <c r="X37" i="1"/>
  <c r="W45" i="1"/>
  <c r="X45" i="1"/>
  <c r="W53" i="1"/>
  <c r="X53" i="1"/>
  <c r="W61" i="1"/>
  <c r="X61" i="1"/>
  <c r="W69" i="1"/>
  <c r="X69" i="1"/>
  <c r="W77" i="1"/>
  <c r="X77" i="1"/>
  <c r="W85" i="1"/>
  <c r="X85" i="1"/>
  <c r="W93" i="1"/>
  <c r="X93" i="1"/>
  <c r="W101" i="1"/>
  <c r="X101" i="1"/>
  <c r="W109" i="1"/>
  <c r="X109" i="1"/>
  <c r="X117" i="1"/>
  <c r="X125" i="1"/>
  <c r="X133" i="1"/>
  <c r="X141" i="1"/>
  <c r="X149" i="1"/>
  <c r="V137" i="1"/>
  <c r="W71" i="1"/>
  <c r="W47" i="1"/>
  <c r="X18" i="1"/>
  <c r="X114" i="1"/>
  <c r="X146" i="1"/>
  <c r="W8" i="1"/>
  <c r="X8" i="1"/>
  <c r="W16" i="1"/>
  <c r="X16" i="1"/>
  <c r="W24" i="1"/>
  <c r="X24" i="1"/>
  <c r="W32" i="1"/>
  <c r="X32" i="1"/>
  <c r="W40" i="1"/>
  <c r="X40" i="1"/>
  <c r="W48" i="1"/>
  <c r="X48" i="1"/>
  <c r="W56" i="1"/>
  <c r="X56" i="1"/>
  <c r="X64" i="1"/>
  <c r="X72" i="1"/>
  <c r="X80" i="1"/>
  <c r="X88" i="1"/>
  <c r="X96" i="1"/>
  <c r="X104" i="1"/>
  <c r="X112" i="1"/>
  <c r="X120" i="1"/>
  <c r="X128" i="1"/>
  <c r="X136" i="1"/>
  <c r="X144" i="1"/>
  <c r="W149" i="1"/>
  <c r="AA149" i="1" s="1"/>
  <c r="W141" i="1"/>
  <c r="W133" i="1"/>
  <c r="W125" i="1"/>
  <c r="W117" i="1"/>
  <c r="AA117" i="1" s="1"/>
  <c r="W90" i="1"/>
  <c r="W80" i="1"/>
  <c r="W58" i="1"/>
  <c r="AA58" i="1" s="1"/>
  <c r="W15" i="1"/>
  <c r="X20" i="1"/>
  <c r="X52" i="1"/>
  <c r="AA52" i="1" s="1"/>
  <c r="X116" i="1"/>
  <c r="X148" i="1"/>
  <c r="AA148" i="1" s="1"/>
  <c r="X3" i="1"/>
  <c r="W3" i="1"/>
  <c r="X11" i="1"/>
  <c r="W11" i="1"/>
  <c r="X19" i="1"/>
  <c r="W19" i="1"/>
  <c r="X27" i="1"/>
  <c r="W27" i="1"/>
  <c r="X35" i="1"/>
  <c r="W35" i="1"/>
  <c r="X43" i="1"/>
  <c r="W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V139" i="1"/>
  <c r="V147" i="1"/>
  <c r="W124" i="1"/>
  <c r="AA124" i="1" s="1"/>
  <c r="W107" i="1"/>
  <c r="W98" i="1"/>
  <c r="AA98" i="1" s="1"/>
  <c r="W79" i="1"/>
  <c r="W67" i="1"/>
  <c r="X26" i="1"/>
  <c r="X122" i="1"/>
  <c r="X6" i="1"/>
  <c r="W6" i="1"/>
  <c r="X14" i="1"/>
  <c r="W14" i="1"/>
  <c r="X22" i="1"/>
  <c r="W22" i="1"/>
  <c r="X30" i="1"/>
  <c r="W30" i="1"/>
  <c r="X38" i="1"/>
  <c r="W38" i="1"/>
  <c r="X46" i="1"/>
  <c r="W46" i="1"/>
  <c r="X54" i="1"/>
  <c r="W54" i="1"/>
  <c r="X62" i="1"/>
  <c r="W62" i="1"/>
  <c r="X70" i="1"/>
  <c r="W70" i="1"/>
  <c r="X78" i="1"/>
  <c r="W78" i="1"/>
  <c r="X86" i="1"/>
  <c r="W86" i="1"/>
  <c r="X94" i="1"/>
  <c r="X102" i="1"/>
  <c r="X110" i="1"/>
  <c r="X118" i="1"/>
  <c r="X126" i="1"/>
  <c r="X134" i="1"/>
  <c r="X142" i="1"/>
  <c r="X150" i="1"/>
  <c r="V132" i="1"/>
  <c r="V140" i="1"/>
  <c r="V148" i="1"/>
  <c r="W147" i="1"/>
  <c r="W139" i="1"/>
  <c r="W131" i="1"/>
  <c r="W123" i="1"/>
  <c r="W115" i="1"/>
  <c r="W88" i="1"/>
  <c r="W66" i="1"/>
  <c r="W55" i="1"/>
  <c r="W39" i="1"/>
  <c r="W7" i="1"/>
  <c r="X28" i="1"/>
  <c r="X9" i="1"/>
  <c r="X17" i="1"/>
  <c r="X25" i="1"/>
  <c r="X33" i="1"/>
  <c r="X41" i="1"/>
  <c r="X49" i="1"/>
  <c r="X57" i="1"/>
  <c r="X65" i="1"/>
  <c r="X73" i="1"/>
  <c r="X81" i="1"/>
  <c r="X89" i="1"/>
  <c r="X97" i="1"/>
  <c r="X105" i="1"/>
  <c r="X113" i="1"/>
  <c r="X121" i="1"/>
  <c r="X129" i="1"/>
  <c r="X137" i="1"/>
  <c r="X145" i="1"/>
  <c r="V133" i="1"/>
  <c r="V141" i="1"/>
  <c r="V149" i="1"/>
  <c r="W130" i="1"/>
  <c r="W105" i="1"/>
  <c r="W96" i="1"/>
  <c r="W87" i="1"/>
  <c r="W75" i="1"/>
  <c r="AA75" i="1" s="1"/>
  <c r="W65" i="1"/>
  <c r="W33" i="1"/>
  <c r="AA33" i="1" s="1"/>
  <c r="X2" i="1"/>
  <c r="X34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A90" i="1" l="1"/>
  <c r="AA76" i="1"/>
  <c r="AA95" i="1"/>
  <c r="AC95" i="1" s="1"/>
  <c r="AA130" i="1"/>
  <c r="AA92" i="1"/>
  <c r="AC92" i="1" s="1"/>
  <c r="AA84" i="1"/>
  <c r="AC84" i="1" s="1"/>
  <c r="AA100" i="1"/>
  <c r="AC100" i="1" s="1"/>
  <c r="L152" i="1"/>
  <c r="K152" i="1"/>
  <c r="AA116" i="1"/>
  <c r="AC116" i="1" s="1"/>
  <c r="AA108" i="1"/>
  <c r="AC108" i="1" s="1"/>
  <c r="AA74" i="1"/>
  <c r="AA104" i="1"/>
  <c r="AC104" i="1" s="1"/>
  <c r="AA39" i="1"/>
  <c r="AC39" i="1" s="1"/>
  <c r="AA132" i="1"/>
  <c r="AA7" i="1"/>
  <c r="AC7" i="1" s="1"/>
  <c r="AB144" i="1"/>
  <c r="AB147" i="1"/>
  <c r="AB135" i="1"/>
  <c r="AB151" i="1"/>
  <c r="AA63" i="1"/>
  <c r="AC63" i="1" s="1"/>
  <c r="AA55" i="1"/>
  <c r="AC55" i="1" s="1"/>
  <c r="AB132" i="1"/>
  <c r="AC132" i="1" s="1"/>
  <c r="AB149" i="1"/>
  <c r="AC149" i="1" s="1"/>
  <c r="AO4" i="1"/>
  <c r="AT4" i="1" s="1"/>
  <c r="AA131" i="1"/>
  <c r="AC131" i="1" s="1"/>
  <c r="AO139" i="1"/>
  <c r="AT139" i="1" s="1"/>
  <c r="AT132" i="1"/>
  <c r="AQ132" i="1"/>
  <c r="AT149" i="1"/>
  <c r="AQ149" i="1"/>
  <c r="AT128" i="1"/>
  <c r="AQ128" i="1"/>
  <c r="AO126" i="1"/>
  <c r="AO120" i="1"/>
  <c r="AT141" i="1"/>
  <c r="AQ141" i="1"/>
  <c r="AT148" i="1"/>
  <c r="AQ148" i="1"/>
  <c r="AO108" i="1"/>
  <c r="AT135" i="1"/>
  <c r="AQ135" i="1"/>
  <c r="AT137" i="1"/>
  <c r="AQ137" i="1"/>
  <c r="AT144" i="1"/>
  <c r="AQ144" i="1"/>
  <c r="AO44" i="1"/>
  <c r="AO115" i="1"/>
  <c r="AB128" i="1"/>
  <c r="AT140" i="1"/>
  <c r="AQ140" i="1"/>
  <c r="AO16" i="1"/>
  <c r="AO83" i="1"/>
  <c r="AO129" i="1"/>
  <c r="AT151" i="1"/>
  <c r="AQ151" i="1"/>
  <c r="AO19" i="1"/>
  <c r="AO101" i="1"/>
  <c r="AT147" i="1"/>
  <c r="AQ147" i="1"/>
  <c r="AO94" i="1"/>
  <c r="AO33" i="1"/>
  <c r="AT143" i="1"/>
  <c r="AQ143" i="1"/>
  <c r="AT150" i="1"/>
  <c r="AQ150" i="1"/>
  <c r="AO91" i="1"/>
  <c r="AB143" i="1"/>
  <c r="AO109" i="1"/>
  <c r="AO13" i="1"/>
  <c r="AO112" i="1"/>
  <c r="AO24" i="1"/>
  <c r="AO111" i="1"/>
  <c r="AO15" i="1"/>
  <c r="AB148" i="1"/>
  <c r="AC148" i="1" s="1"/>
  <c r="AO97" i="1"/>
  <c r="AO88" i="1"/>
  <c r="AO12" i="1"/>
  <c r="AO74" i="1"/>
  <c r="AA82" i="1"/>
  <c r="AC82" i="1" s="1"/>
  <c r="AO77" i="1"/>
  <c r="AO110" i="1"/>
  <c r="AO80" i="1"/>
  <c r="AO70" i="1"/>
  <c r="AO79" i="1"/>
  <c r="AO54" i="1"/>
  <c r="AO69" i="1"/>
  <c r="AO26" i="1"/>
  <c r="AO76" i="1"/>
  <c r="AO34" i="1"/>
  <c r="AO59" i="1"/>
  <c r="AO62" i="1"/>
  <c r="AO65" i="1"/>
  <c r="AO6" i="1"/>
  <c r="AO56" i="1"/>
  <c r="AO51" i="1"/>
  <c r="AO37" i="1"/>
  <c r="AO48" i="1"/>
  <c r="AO123" i="1"/>
  <c r="AO47" i="1"/>
  <c r="AO133" i="1"/>
  <c r="AO105" i="1"/>
  <c r="AO73" i="1"/>
  <c r="AO41" i="1"/>
  <c r="AO9" i="1"/>
  <c r="AO22" i="1"/>
  <c r="AO5" i="1"/>
  <c r="AO136" i="1"/>
  <c r="AO116" i="1"/>
  <c r="AO84" i="1"/>
  <c r="AO52" i="1"/>
  <c r="AO20" i="1"/>
  <c r="AO50" i="1"/>
  <c r="AO119" i="1"/>
  <c r="AO87" i="1"/>
  <c r="AO55" i="1"/>
  <c r="AO23" i="1"/>
  <c r="AO42" i="1"/>
  <c r="AA15" i="1"/>
  <c r="AC15" i="1" s="1"/>
  <c r="AO134" i="1"/>
  <c r="AO14" i="1"/>
  <c r="AO30" i="1"/>
  <c r="AO38" i="1"/>
  <c r="AA66" i="1"/>
  <c r="AC66" i="1" s="1"/>
  <c r="AA144" i="1"/>
  <c r="AA135" i="1"/>
  <c r="AA103" i="1"/>
  <c r="AC103" i="1" s="1"/>
  <c r="AO145" i="1"/>
  <c r="AO125" i="1"/>
  <c r="AO93" i="1"/>
  <c r="AO61" i="1"/>
  <c r="AO29" i="1"/>
  <c r="AO114" i="1"/>
  <c r="AO90" i="1"/>
  <c r="AO104" i="1"/>
  <c r="AO72" i="1"/>
  <c r="AO40" i="1"/>
  <c r="AO8" i="1"/>
  <c r="AO107" i="1"/>
  <c r="AO75" i="1"/>
  <c r="AO43" i="1"/>
  <c r="AO11" i="1"/>
  <c r="AO10" i="1"/>
  <c r="AO27" i="1"/>
  <c r="AA23" i="1"/>
  <c r="AC23" i="1" s="1"/>
  <c r="AB141" i="1"/>
  <c r="AO121" i="1"/>
  <c r="AO89" i="1"/>
  <c r="AO57" i="1"/>
  <c r="AO25" i="1"/>
  <c r="AO98" i="1"/>
  <c r="AO78" i="1"/>
  <c r="AO100" i="1"/>
  <c r="AO68" i="1"/>
  <c r="AO36" i="1"/>
  <c r="AO3" i="1"/>
  <c r="AO103" i="1"/>
  <c r="AO71" i="1"/>
  <c r="AO39" i="1"/>
  <c r="AO7" i="1"/>
  <c r="AO122" i="1"/>
  <c r="AO146" i="1"/>
  <c r="AO45" i="1"/>
  <c r="AO18" i="1"/>
  <c r="AA115" i="1"/>
  <c r="AC115" i="1" s="1"/>
  <c r="AB140" i="1"/>
  <c r="AC140" i="1" s="1"/>
  <c r="AB137" i="1"/>
  <c r="AO117" i="1"/>
  <c r="AO85" i="1"/>
  <c r="AO53" i="1"/>
  <c r="AO21" i="1"/>
  <c r="AO82" i="1"/>
  <c r="AO66" i="1"/>
  <c r="AO96" i="1"/>
  <c r="AO64" i="1"/>
  <c r="AO32" i="1"/>
  <c r="AO2" i="1"/>
  <c r="AO131" i="1"/>
  <c r="AO99" i="1"/>
  <c r="AO67" i="1"/>
  <c r="AO35" i="1"/>
  <c r="AO130" i="1"/>
  <c r="AO102" i="1"/>
  <c r="AO142" i="1"/>
  <c r="AA87" i="1"/>
  <c r="AC87" i="1" s="1"/>
  <c r="AA123" i="1"/>
  <c r="AC123" i="1" s="1"/>
  <c r="AA79" i="1"/>
  <c r="AC79" i="1" s="1"/>
  <c r="AO113" i="1"/>
  <c r="AO81" i="1"/>
  <c r="AO49" i="1"/>
  <c r="AO17" i="1"/>
  <c r="AO58" i="1"/>
  <c r="AO46" i="1"/>
  <c r="AO124" i="1"/>
  <c r="AO92" i="1"/>
  <c r="AO60" i="1"/>
  <c r="AO28" i="1"/>
  <c r="AO106" i="1"/>
  <c r="AO127" i="1"/>
  <c r="AO95" i="1"/>
  <c r="AO63" i="1"/>
  <c r="AO31" i="1"/>
  <c r="AO118" i="1"/>
  <c r="AO86" i="1"/>
  <c r="AO138" i="1"/>
  <c r="AA101" i="1"/>
  <c r="AC101" i="1" s="1"/>
  <c r="AA69" i="1"/>
  <c r="AC69" i="1" s="1"/>
  <c r="AA37" i="1"/>
  <c r="AC37" i="1" s="1"/>
  <c r="AA5" i="1"/>
  <c r="AC5" i="1" s="1"/>
  <c r="AA65" i="1"/>
  <c r="AC65" i="1" s="1"/>
  <c r="AA88" i="1"/>
  <c r="AC88" i="1" s="1"/>
  <c r="AA10" i="1"/>
  <c r="AC10" i="1" s="1"/>
  <c r="AA85" i="1"/>
  <c r="AC85" i="1" s="1"/>
  <c r="AA53" i="1"/>
  <c r="AC53" i="1" s="1"/>
  <c r="AA21" i="1"/>
  <c r="AC21" i="1" s="1"/>
  <c r="AA96" i="1"/>
  <c r="AC96" i="1" s="1"/>
  <c r="AA125" i="1"/>
  <c r="AC125" i="1" s="1"/>
  <c r="AA107" i="1"/>
  <c r="AC107" i="1" s="1"/>
  <c r="AA71" i="1"/>
  <c r="AC71" i="1" s="1"/>
  <c r="AA67" i="1"/>
  <c r="AC67" i="1" s="1"/>
  <c r="AA12" i="1"/>
  <c r="AC12" i="1" s="1"/>
  <c r="AA134" i="1"/>
  <c r="AC134" i="1" s="1"/>
  <c r="AA102" i="1"/>
  <c r="AC102" i="1" s="1"/>
  <c r="AA42" i="1"/>
  <c r="AC42" i="1" s="1"/>
  <c r="AA86" i="1"/>
  <c r="AC86" i="1" s="1"/>
  <c r="AA54" i="1"/>
  <c r="AC54" i="1" s="1"/>
  <c r="AA22" i="1"/>
  <c r="AC22" i="1" s="1"/>
  <c r="AA27" i="1"/>
  <c r="AC27" i="1" s="1"/>
  <c r="AA47" i="1"/>
  <c r="AC47" i="1" s="1"/>
  <c r="AA59" i="1"/>
  <c r="AC59" i="1" s="1"/>
  <c r="AA105" i="1"/>
  <c r="AC105" i="1" s="1"/>
  <c r="AA133" i="1"/>
  <c r="AC133" i="1" s="1"/>
  <c r="AA111" i="1"/>
  <c r="AC111" i="1" s="1"/>
  <c r="AA70" i="1"/>
  <c r="AC70" i="1" s="1"/>
  <c r="AA38" i="1"/>
  <c r="AC38" i="1" s="1"/>
  <c r="AA6" i="1"/>
  <c r="AC6" i="1" s="1"/>
  <c r="AA43" i="1"/>
  <c r="AC43" i="1" s="1"/>
  <c r="AA11" i="1"/>
  <c r="AC11" i="1" s="1"/>
  <c r="AA48" i="1"/>
  <c r="AC48" i="1" s="1"/>
  <c r="AA16" i="1"/>
  <c r="AC16" i="1" s="1"/>
  <c r="AA121" i="1"/>
  <c r="AC121" i="1" s="1"/>
  <c r="AC75" i="1"/>
  <c r="AA26" i="1"/>
  <c r="AC26" i="1" s="1"/>
  <c r="AA40" i="1"/>
  <c r="AC40" i="1" s="1"/>
  <c r="AA8" i="1"/>
  <c r="AC8" i="1" s="1"/>
  <c r="AA18" i="1"/>
  <c r="AC18" i="1" s="1"/>
  <c r="AA4" i="1"/>
  <c r="AC4" i="1" s="1"/>
  <c r="AC98" i="1"/>
  <c r="AA136" i="1"/>
  <c r="AC136" i="1" s="1"/>
  <c r="AA113" i="1"/>
  <c r="AC113" i="1" s="1"/>
  <c r="AA81" i="1"/>
  <c r="AC81" i="1" s="1"/>
  <c r="AA83" i="1"/>
  <c r="AC83" i="1" s="1"/>
  <c r="AA80" i="1"/>
  <c r="AC80" i="1" s="1"/>
  <c r="AA93" i="1"/>
  <c r="AC93" i="1" s="1"/>
  <c r="AA61" i="1"/>
  <c r="AC61" i="1" s="1"/>
  <c r="AA29" i="1"/>
  <c r="AC29" i="1" s="1"/>
  <c r="AA143" i="1"/>
  <c r="AA51" i="1"/>
  <c r="AC51" i="1" s="1"/>
  <c r="AA31" i="1"/>
  <c r="AC31" i="1" s="1"/>
  <c r="AC68" i="1"/>
  <c r="AC52" i="1"/>
  <c r="AA126" i="1"/>
  <c r="AC126" i="1" s="1"/>
  <c r="AA94" i="1"/>
  <c r="AC94" i="1" s="1"/>
  <c r="AA120" i="1"/>
  <c r="AC120" i="1" s="1"/>
  <c r="AC130" i="1"/>
  <c r="AA73" i="1"/>
  <c r="AC73" i="1" s="1"/>
  <c r="AA78" i="1"/>
  <c r="AC78" i="1" s="1"/>
  <c r="AA46" i="1"/>
  <c r="AC46" i="1" s="1"/>
  <c r="AA14" i="1"/>
  <c r="AC14" i="1" s="1"/>
  <c r="AA19" i="1"/>
  <c r="AC19" i="1" s="1"/>
  <c r="AA32" i="1"/>
  <c r="AC32" i="1" s="1"/>
  <c r="AA151" i="1"/>
  <c r="AC151" i="1" s="1"/>
  <c r="AA2" i="1"/>
  <c r="AC2" i="1" s="1"/>
  <c r="AC117" i="1"/>
  <c r="AA122" i="1"/>
  <c r="AC122" i="1" s="1"/>
  <c r="AA57" i="1"/>
  <c r="AC57" i="1" s="1"/>
  <c r="AA139" i="1"/>
  <c r="AC139" i="1" s="1"/>
  <c r="AA44" i="1"/>
  <c r="AC44" i="1" s="1"/>
  <c r="AC90" i="1"/>
  <c r="AA112" i="1"/>
  <c r="AC112" i="1" s="1"/>
  <c r="AA150" i="1"/>
  <c r="AC150" i="1" s="1"/>
  <c r="AA118" i="1"/>
  <c r="AC118" i="1" s="1"/>
  <c r="AC58" i="1"/>
  <c r="AA64" i="1"/>
  <c r="AC64" i="1" s="1"/>
  <c r="AA49" i="1"/>
  <c r="AC49" i="1" s="1"/>
  <c r="AA147" i="1"/>
  <c r="AA56" i="1"/>
  <c r="AC56" i="1" s="1"/>
  <c r="AA24" i="1"/>
  <c r="AC24" i="1" s="1"/>
  <c r="AA36" i="1"/>
  <c r="AC36" i="1" s="1"/>
  <c r="AC33" i="1"/>
  <c r="AA146" i="1"/>
  <c r="AC146" i="1" s="1"/>
  <c r="AA114" i="1"/>
  <c r="AC114" i="1" s="1"/>
  <c r="AA145" i="1"/>
  <c r="AC145" i="1" s="1"/>
  <c r="AA25" i="1"/>
  <c r="AC25" i="1" s="1"/>
  <c r="AA128" i="1"/>
  <c r="AA41" i="1"/>
  <c r="AC41" i="1" s="1"/>
  <c r="AC74" i="1"/>
  <c r="AA109" i="1"/>
  <c r="AC109" i="1" s="1"/>
  <c r="AA77" i="1"/>
  <c r="AC77" i="1" s="1"/>
  <c r="AA45" i="1"/>
  <c r="AC45" i="1" s="1"/>
  <c r="AA13" i="1"/>
  <c r="AC13" i="1" s="1"/>
  <c r="AA28" i="1"/>
  <c r="AC28" i="1" s="1"/>
  <c r="AA99" i="1"/>
  <c r="AC99" i="1" s="1"/>
  <c r="AC124" i="1"/>
  <c r="AC76" i="1"/>
  <c r="AC60" i="1"/>
  <c r="AA142" i="1"/>
  <c r="AC142" i="1" s="1"/>
  <c r="AA110" i="1"/>
  <c r="AC110" i="1" s="1"/>
  <c r="AA137" i="1"/>
  <c r="AC127" i="1"/>
  <c r="AA9" i="1"/>
  <c r="AC9" i="1" s="1"/>
  <c r="AA17" i="1"/>
  <c r="AC17" i="1" s="1"/>
  <c r="AA72" i="1"/>
  <c r="AC72" i="1" s="1"/>
  <c r="AA89" i="1"/>
  <c r="AC89" i="1" s="1"/>
  <c r="AA62" i="1"/>
  <c r="AC62" i="1" s="1"/>
  <c r="AA30" i="1"/>
  <c r="AC30" i="1" s="1"/>
  <c r="AA35" i="1"/>
  <c r="AC35" i="1" s="1"/>
  <c r="AA3" i="1"/>
  <c r="AC3" i="1" s="1"/>
  <c r="AA141" i="1"/>
  <c r="AA119" i="1"/>
  <c r="AC119" i="1" s="1"/>
  <c r="AA34" i="1"/>
  <c r="AC34" i="1" s="1"/>
  <c r="AA50" i="1"/>
  <c r="AC50" i="1" s="1"/>
  <c r="AA20" i="1"/>
  <c r="AC20" i="1" s="1"/>
  <c r="AA91" i="1"/>
  <c r="AC91" i="1" s="1"/>
  <c r="AA138" i="1"/>
  <c r="AC138" i="1" s="1"/>
  <c r="AA106" i="1"/>
  <c r="AC106" i="1" s="1"/>
  <c r="AA129" i="1"/>
  <c r="AC129" i="1" s="1"/>
  <c r="AA97" i="1"/>
  <c r="AC97" i="1" s="1"/>
  <c r="AC135" i="1" l="1"/>
  <c r="AC147" i="1"/>
  <c r="AC144" i="1"/>
  <c r="AC143" i="1"/>
  <c r="AQ139" i="1"/>
  <c r="AQ4" i="1"/>
  <c r="AC128" i="1"/>
  <c r="AI128" i="1" s="1"/>
  <c r="AK128" i="1" s="1"/>
  <c r="AT64" i="1"/>
  <c r="AQ64" i="1"/>
  <c r="AT10" i="1"/>
  <c r="AQ10" i="1"/>
  <c r="AT52" i="1"/>
  <c r="AQ52" i="1"/>
  <c r="AT74" i="1"/>
  <c r="AQ74" i="1"/>
  <c r="AT96" i="1"/>
  <c r="AQ96" i="1"/>
  <c r="AT11" i="1"/>
  <c r="AQ11" i="1"/>
  <c r="AT54" i="1"/>
  <c r="AQ54" i="1"/>
  <c r="AT138" i="1"/>
  <c r="AQ138" i="1"/>
  <c r="AT28" i="1"/>
  <c r="AQ28" i="1"/>
  <c r="AT81" i="1"/>
  <c r="AQ81" i="1"/>
  <c r="AT35" i="1"/>
  <c r="AQ35" i="1"/>
  <c r="AT66" i="1"/>
  <c r="AQ66" i="1"/>
  <c r="AT103" i="1"/>
  <c r="AQ103" i="1"/>
  <c r="AT57" i="1"/>
  <c r="AQ57" i="1"/>
  <c r="AT43" i="1"/>
  <c r="AQ43" i="1"/>
  <c r="AT114" i="1"/>
  <c r="AQ114" i="1"/>
  <c r="AT23" i="1"/>
  <c r="AQ23" i="1"/>
  <c r="AT116" i="1"/>
  <c r="AQ116" i="1"/>
  <c r="AT133" i="1"/>
  <c r="AQ133" i="1"/>
  <c r="AT65" i="1"/>
  <c r="AQ65" i="1"/>
  <c r="AT79" i="1"/>
  <c r="AQ79" i="1"/>
  <c r="AT88" i="1"/>
  <c r="AQ88" i="1"/>
  <c r="AT109" i="1"/>
  <c r="AQ109" i="1"/>
  <c r="AT94" i="1"/>
  <c r="AQ94" i="1"/>
  <c r="AT83" i="1"/>
  <c r="AQ83" i="1"/>
  <c r="AT69" i="1"/>
  <c r="AQ69" i="1"/>
  <c r="AT25" i="1"/>
  <c r="AQ25" i="1"/>
  <c r="AT105" i="1"/>
  <c r="AQ105" i="1"/>
  <c r="AT13" i="1"/>
  <c r="AQ13" i="1"/>
  <c r="AT60" i="1"/>
  <c r="AQ60" i="1"/>
  <c r="AT18" i="1"/>
  <c r="AQ18" i="1"/>
  <c r="AT3" i="1"/>
  <c r="AQ3" i="1"/>
  <c r="AT89" i="1"/>
  <c r="AQ89" i="1"/>
  <c r="AT75" i="1"/>
  <c r="AQ75" i="1"/>
  <c r="AT29" i="1"/>
  <c r="AQ29" i="1"/>
  <c r="AT55" i="1"/>
  <c r="AQ55" i="1"/>
  <c r="AT136" i="1"/>
  <c r="AQ136" i="1"/>
  <c r="AT47" i="1"/>
  <c r="AQ47" i="1"/>
  <c r="AT62" i="1"/>
  <c r="AQ62" i="1"/>
  <c r="AT70" i="1"/>
  <c r="AQ70" i="1"/>
  <c r="AT97" i="1"/>
  <c r="AQ97" i="1"/>
  <c r="AT16" i="1"/>
  <c r="AQ16" i="1"/>
  <c r="AT17" i="1"/>
  <c r="AQ17" i="1"/>
  <c r="AT104" i="1"/>
  <c r="AQ104" i="1"/>
  <c r="AT56" i="1"/>
  <c r="AQ56" i="1"/>
  <c r="AT106" i="1"/>
  <c r="AQ106" i="1"/>
  <c r="AT42" i="1"/>
  <c r="AQ42" i="1"/>
  <c r="AT12" i="1"/>
  <c r="AQ12" i="1"/>
  <c r="AT113" i="1"/>
  <c r="AQ113" i="1"/>
  <c r="AT118" i="1"/>
  <c r="AQ118" i="1"/>
  <c r="AT21" i="1"/>
  <c r="AQ21" i="1"/>
  <c r="AT107" i="1"/>
  <c r="AQ107" i="1"/>
  <c r="AT123" i="1"/>
  <c r="AQ123" i="1"/>
  <c r="AT91" i="1"/>
  <c r="AQ91" i="1"/>
  <c r="AT120" i="1"/>
  <c r="AQ120" i="1"/>
  <c r="AT102" i="1"/>
  <c r="AQ102" i="1"/>
  <c r="AT98" i="1"/>
  <c r="AQ98" i="1"/>
  <c r="AT112" i="1"/>
  <c r="AQ112" i="1"/>
  <c r="AT130" i="1"/>
  <c r="AQ130" i="1"/>
  <c r="AT90" i="1"/>
  <c r="AQ90" i="1"/>
  <c r="AT6" i="1"/>
  <c r="AQ6" i="1"/>
  <c r="AT129" i="1"/>
  <c r="AQ129" i="1"/>
  <c r="AT86" i="1"/>
  <c r="AQ86" i="1"/>
  <c r="AT82" i="1"/>
  <c r="AQ82" i="1"/>
  <c r="AT92" i="1"/>
  <c r="AQ92" i="1"/>
  <c r="AT99" i="1"/>
  <c r="AQ99" i="1"/>
  <c r="AT36" i="1"/>
  <c r="AQ36" i="1"/>
  <c r="AT61" i="1"/>
  <c r="AQ61" i="1"/>
  <c r="AT87" i="1"/>
  <c r="AQ87" i="1"/>
  <c r="AT59" i="1"/>
  <c r="AQ59" i="1"/>
  <c r="AT31" i="1"/>
  <c r="AQ31" i="1"/>
  <c r="AT124" i="1"/>
  <c r="AQ124" i="1"/>
  <c r="AT131" i="1"/>
  <c r="AQ131" i="1"/>
  <c r="AT53" i="1"/>
  <c r="AQ53" i="1"/>
  <c r="AT146" i="1"/>
  <c r="AQ146" i="1"/>
  <c r="AT68" i="1"/>
  <c r="AQ68" i="1"/>
  <c r="AT8" i="1"/>
  <c r="AQ8" i="1"/>
  <c r="AT93" i="1"/>
  <c r="AQ93" i="1"/>
  <c r="AT30" i="1"/>
  <c r="AQ30" i="1"/>
  <c r="AT119" i="1"/>
  <c r="AQ119" i="1"/>
  <c r="AT22" i="1"/>
  <c r="AQ22" i="1"/>
  <c r="AT48" i="1"/>
  <c r="AQ48" i="1"/>
  <c r="AT34" i="1"/>
  <c r="AQ34" i="1"/>
  <c r="AT110" i="1"/>
  <c r="AQ110" i="1"/>
  <c r="AT15" i="1"/>
  <c r="AQ15" i="1"/>
  <c r="AT101" i="1"/>
  <c r="AQ101" i="1"/>
  <c r="AT126" i="1"/>
  <c r="AQ126" i="1"/>
  <c r="AT63" i="1"/>
  <c r="AQ63" i="1"/>
  <c r="AT46" i="1"/>
  <c r="AQ46" i="1"/>
  <c r="AT2" i="1"/>
  <c r="AQ2" i="1"/>
  <c r="AT85" i="1"/>
  <c r="AQ85" i="1"/>
  <c r="AT122" i="1"/>
  <c r="AQ122" i="1"/>
  <c r="AT100" i="1"/>
  <c r="AQ100" i="1"/>
  <c r="AT40" i="1"/>
  <c r="AQ40" i="1"/>
  <c r="AT125" i="1"/>
  <c r="AQ125" i="1"/>
  <c r="AT14" i="1"/>
  <c r="AQ14" i="1"/>
  <c r="AT50" i="1"/>
  <c r="AQ50" i="1"/>
  <c r="AT9" i="1"/>
  <c r="AQ9" i="1"/>
  <c r="AT37" i="1"/>
  <c r="AQ37" i="1"/>
  <c r="AT76" i="1"/>
  <c r="AQ76" i="1"/>
  <c r="AT77" i="1"/>
  <c r="AQ77" i="1"/>
  <c r="AT111" i="1"/>
  <c r="AQ111" i="1"/>
  <c r="AT19" i="1"/>
  <c r="AQ19" i="1"/>
  <c r="AT127" i="1"/>
  <c r="AQ127" i="1"/>
  <c r="AT39" i="1"/>
  <c r="AQ39" i="1"/>
  <c r="AT73" i="1"/>
  <c r="AQ73" i="1"/>
  <c r="AT44" i="1"/>
  <c r="AQ44" i="1"/>
  <c r="AT49" i="1"/>
  <c r="AQ49" i="1"/>
  <c r="AT71" i="1"/>
  <c r="AQ71" i="1"/>
  <c r="AT84" i="1"/>
  <c r="AQ84" i="1"/>
  <c r="AT33" i="1"/>
  <c r="AQ33" i="1"/>
  <c r="AT67" i="1"/>
  <c r="AQ67" i="1"/>
  <c r="AT45" i="1"/>
  <c r="AQ45" i="1"/>
  <c r="AT121" i="1"/>
  <c r="AQ121" i="1"/>
  <c r="AT38" i="1"/>
  <c r="AQ38" i="1"/>
  <c r="AT5" i="1"/>
  <c r="AQ5" i="1"/>
  <c r="AT80" i="1"/>
  <c r="AQ80" i="1"/>
  <c r="AC137" i="1"/>
  <c r="AI137" i="1" s="1"/>
  <c r="AK137" i="1" s="1"/>
  <c r="AT95" i="1"/>
  <c r="AQ95" i="1"/>
  <c r="AT58" i="1"/>
  <c r="AQ58" i="1"/>
  <c r="AT142" i="1"/>
  <c r="AQ142" i="1"/>
  <c r="AT32" i="1"/>
  <c r="AQ32" i="1"/>
  <c r="AT117" i="1"/>
  <c r="AQ117" i="1"/>
  <c r="AT7" i="1"/>
  <c r="AQ7" i="1"/>
  <c r="AT78" i="1"/>
  <c r="AQ78" i="1"/>
  <c r="AT27" i="1"/>
  <c r="AQ27" i="1"/>
  <c r="AT72" i="1"/>
  <c r="AQ72" i="1"/>
  <c r="AT145" i="1"/>
  <c r="AQ145" i="1"/>
  <c r="AT134" i="1"/>
  <c r="AQ134" i="1"/>
  <c r="AT20" i="1"/>
  <c r="AQ20" i="1"/>
  <c r="AT41" i="1"/>
  <c r="AQ41" i="1"/>
  <c r="AT51" i="1"/>
  <c r="AQ51" i="1"/>
  <c r="AT26" i="1"/>
  <c r="AQ26" i="1"/>
  <c r="AT24" i="1"/>
  <c r="AQ24" i="1"/>
  <c r="AT115" i="1"/>
  <c r="AQ115" i="1"/>
  <c r="AT108" i="1"/>
  <c r="AQ108" i="1"/>
  <c r="AH18" i="1"/>
  <c r="AJ18" i="1" s="1"/>
  <c r="AI18" i="1"/>
  <c r="AK18" i="1" s="1"/>
  <c r="AI67" i="1"/>
  <c r="AK67" i="1" s="1"/>
  <c r="AH67" i="1"/>
  <c r="AJ67" i="1" s="1"/>
  <c r="AX67" i="1" s="1"/>
  <c r="AI10" i="1"/>
  <c r="AK10" i="1" s="1"/>
  <c r="AH10" i="1"/>
  <c r="AJ10" i="1" s="1"/>
  <c r="AI66" i="1"/>
  <c r="AK66" i="1" s="1"/>
  <c r="AH66" i="1"/>
  <c r="AJ66" i="1" s="1"/>
  <c r="AI93" i="1"/>
  <c r="AK93" i="1" s="1"/>
  <c r="AH93" i="1"/>
  <c r="AJ93" i="1" s="1"/>
  <c r="AI31" i="1"/>
  <c r="AK31" i="1" s="1"/>
  <c r="AH31" i="1"/>
  <c r="AJ31" i="1" s="1"/>
  <c r="AX31" i="1" s="1"/>
  <c r="AH120" i="1"/>
  <c r="AJ120" i="1" s="1"/>
  <c r="AX120" i="1" s="1"/>
  <c r="AI120" i="1"/>
  <c r="AK120" i="1" s="1"/>
  <c r="AH32" i="1"/>
  <c r="AJ32" i="1" s="1"/>
  <c r="AI32" i="1"/>
  <c r="AK32" i="1" s="1"/>
  <c r="AI41" i="1"/>
  <c r="AK41" i="1" s="1"/>
  <c r="AH41" i="1"/>
  <c r="AJ41" i="1" s="1"/>
  <c r="AI136" i="1"/>
  <c r="AK136" i="1" s="1"/>
  <c r="AH136" i="1"/>
  <c r="AJ136" i="1" s="1"/>
  <c r="AH38" i="1"/>
  <c r="AJ38" i="1" s="1"/>
  <c r="AX38" i="1" s="1"/>
  <c r="AI38" i="1"/>
  <c r="AK38" i="1" s="1"/>
  <c r="AH97" i="1"/>
  <c r="AJ97" i="1" s="1"/>
  <c r="AI97" i="1"/>
  <c r="AK97" i="1" s="1"/>
  <c r="AH61" i="1"/>
  <c r="AJ61" i="1" s="1"/>
  <c r="AI61" i="1"/>
  <c r="AK61" i="1" s="1"/>
  <c r="AC141" i="1"/>
  <c r="AH86" i="1"/>
  <c r="AJ86" i="1" s="1"/>
  <c r="AI86" i="1"/>
  <c r="AK86" i="1" s="1"/>
  <c r="AH111" i="1"/>
  <c r="AJ111" i="1" s="1"/>
  <c r="AI111" i="1"/>
  <c r="AK111" i="1" s="1"/>
  <c r="AI76" i="1"/>
  <c r="AK76" i="1" s="1"/>
  <c r="AH76" i="1"/>
  <c r="AJ76" i="1" s="1"/>
  <c r="AI45" i="1"/>
  <c r="AK45" i="1" s="1"/>
  <c r="AH45" i="1"/>
  <c r="AJ45" i="1" s="1"/>
  <c r="AH33" i="1"/>
  <c r="AJ33" i="1" s="1"/>
  <c r="AI33" i="1"/>
  <c r="AK33" i="1" s="1"/>
  <c r="AH139" i="1"/>
  <c r="AJ139" i="1" s="1"/>
  <c r="AI139" i="1"/>
  <c r="AK139" i="1" s="1"/>
  <c r="AI53" i="1"/>
  <c r="AK53" i="1" s="1"/>
  <c r="AH53" i="1"/>
  <c r="AJ53" i="1" s="1"/>
  <c r="AH140" i="1"/>
  <c r="AJ140" i="1" s="1"/>
  <c r="AX140" i="1" s="1"/>
  <c r="AI140" i="1"/>
  <c r="AK140" i="1" s="1"/>
  <c r="AI130" i="1"/>
  <c r="AK130" i="1" s="1"/>
  <c r="AH130" i="1"/>
  <c r="AJ130" i="1" s="1"/>
  <c r="AH82" i="1"/>
  <c r="AJ82" i="1" s="1"/>
  <c r="AI82" i="1"/>
  <c r="AK82" i="1" s="1"/>
  <c r="AI116" i="1"/>
  <c r="AK116" i="1" s="1"/>
  <c r="AH116" i="1"/>
  <c r="AJ116" i="1" s="1"/>
  <c r="AH148" i="1"/>
  <c r="AJ148" i="1" s="1"/>
  <c r="AX148" i="1" s="1"/>
  <c r="AI148" i="1"/>
  <c r="AK148" i="1" s="1"/>
  <c r="AI121" i="1"/>
  <c r="AK121" i="1" s="1"/>
  <c r="AH121" i="1"/>
  <c r="AJ121" i="1" s="1"/>
  <c r="AI70" i="1"/>
  <c r="AK70" i="1" s="1"/>
  <c r="AH70" i="1"/>
  <c r="AJ70" i="1" s="1"/>
  <c r="AX70" i="1" s="1"/>
  <c r="AH22" i="1"/>
  <c r="AJ22" i="1" s="1"/>
  <c r="AI22" i="1"/>
  <c r="AK22" i="1" s="1"/>
  <c r="AH71" i="1"/>
  <c r="AJ71" i="1" s="1"/>
  <c r="AX71" i="1" s="1"/>
  <c r="AI71" i="1"/>
  <c r="AK71" i="1" s="1"/>
  <c r="AI88" i="1"/>
  <c r="AK88" i="1" s="1"/>
  <c r="AH88" i="1"/>
  <c r="AJ88" i="1" s="1"/>
  <c r="AH95" i="1"/>
  <c r="AJ95" i="1" s="1"/>
  <c r="AI95" i="1"/>
  <c r="AK95" i="1" s="1"/>
  <c r="AH151" i="1"/>
  <c r="AJ151" i="1" s="1"/>
  <c r="AI151" i="1"/>
  <c r="AK151" i="1" s="1"/>
  <c r="AH77" i="1"/>
  <c r="AJ77" i="1" s="1"/>
  <c r="AX77" i="1" s="1"/>
  <c r="AI77" i="1"/>
  <c r="AK77" i="1" s="1"/>
  <c r="AH36" i="1"/>
  <c r="AJ36" i="1" s="1"/>
  <c r="AI36" i="1"/>
  <c r="AK36" i="1" s="1"/>
  <c r="AH83" i="1"/>
  <c r="AJ83" i="1" s="1"/>
  <c r="AI83" i="1"/>
  <c r="AK83" i="1" s="1"/>
  <c r="AI105" i="1"/>
  <c r="AK105" i="1" s="1"/>
  <c r="AH105" i="1"/>
  <c r="AJ105" i="1" s="1"/>
  <c r="AH129" i="1"/>
  <c r="AJ129" i="1" s="1"/>
  <c r="AX129" i="1" s="1"/>
  <c r="AI129" i="1"/>
  <c r="AK129" i="1" s="1"/>
  <c r="AI35" i="1"/>
  <c r="AK35" i="1" s="1"/>
  <c r="AH35" i="1"/>
  <c r="AJ35" i="1" s="1"/>
  <c r="AH15" i="1"/>
  <c r="AJ15" i="1" s="1"/>
  <c r="AI15" i="1"/>
  <c r="AK15" i="1" s="1"/>
  <c r="AI108" i="1"/>
  <c r="AK108" i="1" s="1"/>
  <c r="AH108" i="1"/>
  <c r="AJ108" i="1" s="1"/>
  <c r="AI109" i="1"/>
  <c r="AK109" i="1" s="1"/>
  <c r="AH109" i="1"/>
  <c r="AJ109" i="1" s="1"/>
  <c r="AH145" i="1"/>
  <c r="AJ145" i="1" s="1"/>
  <c r="AI145" i="1"/>
  <c r="AK145" i="1" s="1"/>
  <c r="AH131" i="1"/>
  <c r="AJ131" i="1" s="1"/>
  <c r="AI131" i="1"/>
  <c r="AK131" i="1" s="1"/>
  <c r="AI80" i="1"/>
  <c r="AK80" i="1" s="1"/>
  <c r="AH80" i="1"/>
  <c r="AJ80" i="1" s="1"/>
  <c r="AI57" i="1"/>
  <c r="AK57" i="1" s="1"/>
  <c r="AH57" i="1"/>
  <c r="AJ57" i="1" s="1"/>
  <c r="AH85" i="1"/>
  <c r="AJ85" i="1" s="1"/>
  <c r="AI85" i="1"/>
  <c r="AK85" i="1" s="1"/>
  <c r="AI23" i="1"/>
  <c r="AK23" i="1" s="1"/>
  <c r="AH23" i="1"/>
  <c r="AJ23" i="1" s="1"/>
  <c r="AX23" i="1" s="1"/>
  <c r="AI126" i="1"/>
  <c r="AK126" i="1" s="1"/>
  <c r="AH126" i="1"/>
  <c r="AJ126" i="1" s="1"/>
  <c r="AH51" i="1"/>
  <c r="AJ51" i="1" s="1"/>
  <c r="AX51" i="1" s="1"/>
  <c r="AI51" i="1"/>
  <c r="AK51" i="1" s="1"/>
  <c r="AI81" i="1"/>
  <c r="AK81" i="1" s="1"/>
  <c r="AH81" i="1"/>
  <c r="AJ81" i="1" s="1"/>
  <c r="AI40" i="1"/>
  <c r="AK40" i="1" s="1"/>
  <c r="AH40" i="1"/>
  <c r="AJ40" i="1" s="1"/>
  <c r="AX40" i="1" s="1"/>
  <c r="AH17" i="1"/>
  <c r="AJ17" i="1" s="1"/>
  <c r="AI17" i="1"/>
  <c r="AK17" i="1" s="1"/>
  <c r="AH19" i="1"/>
  <c r="AJ19" i="1" s="1"/>
  <c r="AX19" i="1" s="1"/>
  <c r="AI19" i="1"/>
  <c r="AK19" i="1" s="1"/>
  <c r="AI123" i="1"/>
  <c r="AK123" i="1" s="1"/>
  <c r="AH123" i="1"/>
  <c r="AJ123" i="1" s="1"/>
  <c r="AH127" i="1"/>
  <c r="AJ127" i="1" s="1"/>
  <c r="AI127" i="1"/>
  <c r="AK127" i="1" s="1"/>
  <c r="AI115" i="1"/>
  <c r="AK115" i="1" s="1"/>
  <c r="AH115" i="1"/>
  <c r="AJ115" i="1" s="1"/>
  <c r="AH42" i="1"/>
  <c r="AJ42" i="1" s="1"/>
  <c r="AX42" i="1" s="1"/>
  <c r="AI42" i="1"/>
  <c r="AK42" i="1" s="1"/>
  <c r="AI124" i="1"/>
  <c r="AK124" i="1" s="1"/>
  <c r="AH124" i="1"/>
  <c r="AJ124" i="1" s="1"/>
  <c r="AI102" i="1"/>
  <c r="AK102" i="1" s="1"/>
  <c r="AH102" i="1"/>
  <c r="AJ102" i="1" s="1"/>
  <c r="AX102" i="1" s="1"/>
  <c r="AI114" i="1"/>
  <c r="AK114" i="1" s="1"/>
  <c r="AH114" i="1"/>
  <c r="AJ114" i="1" s="1"/>
  <c r="AH56" i="1"/>
  <c r="AJ56" i="1" s="1"/>
  <c r="AX56" i="1" s="1"/>
  <c r="AI56" i="1"/>
  <c r="AK56" i="1" s="1"/>
  <c r="AH64" i="1"/>
  <c r="AJ64" i="1" s="1"/>
  <c r="AI64" i="1"/>
  <c r="AK64" i="1" s="1"/>
  <c r="AI96" i="1"/>
  <c r="AK96" i="1" s="1"/>
  <c r="AH96" i="1"/>
  <c r="AJ96" i="1" s="1"/>
  <c r="AX96" i="1" s="1"/>
  <c r="AI101" i="1"/>
  <c r="AK101" i="1" s="1"/>
  <c r="AH101" i="1"/>
  <c r="AJ101" i="1" s="1"/>
  <c r="AH14" i="1"/>
  <c r="AJ14" i="1" s="1"/>
  <c r="AI14" i="1"/>
  <c r="AK14" i="1" s="1"/>
  <c r="AH39" i="1"/>
  <c r="AJ39" i="1" s="1"/>
  <c r="AI39" i="1"/>
  <c r="AK39" i="1" s="1"/>
  <c r="AI6" i="1"/>
  <c r="AK6" i="1" s="1"/>
  <c r="AH6" i="1"/>
  <c r="AJ6" i="1" s="1"/>
  <c r="AX6" i="1" s="1"/>
  <c r="AI143" i="1"/>
  <c r="AK143" i="1" s="1"/>
  <c r="AH143" i="1"/>
  <c r="AJ143" i="1" s="1"/>
  <c r="AH113" i="1"/>
  <c r="AJ113" i="1" s="1"/>
  <c r="AI113" i="1"/>
  <c r="AK113" i="1" s="1"/>
  <c r="AH26" i="1"/>
  <c r="AJ26" i="1" s="1"/>
  <c r="AI26" i="1"/>
  <c r="AK26" i="1" s="1"/>
  <c r="AH133" i="1"/>
  <c r="AJ133" i="1" s="1"/>
  <c r="AI133" i="1"/>
  <c r="AK133" i="1" s="1"/>
  <c r="AI60" i="1"/>
  <c r="AK60" i="1" s="1"/>
  <c r="AH60" i="1"/>
  <c r="AJ60" i="1" s="1"/>
  <c r="AI73" i="1"/>
  <c r="AK73" i="1" s="1"/>
  <c r="AH73" i="1"/>
  <c r="AJ73" i="1" s="1"/>
  <c r="AH100" i="1"/>
  <c r="AJ100" i="1" s="1"/>
  <c r="AI100" i="1"/>
  <c r="AK100" i="1" s="1"/>
  <c r="AI3" i="1"/>
  <c r="AK3" i="1" s="1"/>
  <c r="AH3" i="1"/>
  <c r="AJ3" i="1" s="1"/>
  <c r="AX3" i="1" s="1"/>
  <c r="AH94" i="1"/>
  <c r="AJ94" i="1" s="1"/>
  <c r="AI94" i="1"/>
  <c r="AK94" i="1" s="1"/>
  <c r="AH107" i="1"/>
  <c r="AJ107" i="1" s="1"/>
  <c r="AI107" i="1"/>
  <c r="AK107" i="1" s="1"/>
  <c r="AH125" i="1"/>
  <c r="AJ125" i="1" s="1"/>
  <c r="AI125" i="1"/>
  <c r="AK125" i="1" s="1"/>
  <c r="AI138" i="1"/>
  <c r="AK138" i="1" s="1"/>
  <c r="AH138" i="1"/>
  <c r="AJ138" i="1" s="1"/>
  <c r="AX138" i="1" s="1"/>
  <c r="AI20" i="1"/>
  <c r="AK20" i="1" s="1"/>
  <c r="AH20" i="1"/>
  <c r="AJ20" i="1" s="1"/>
  <c r="AI62" i="1"/>
  <c r="AK62" i="1" s="1"/>
  <c r="AH62" i="1"/>
  <c r="AJ62" i="1" s="1"/>
  <c r="AH47" i="1"/>
  <c r="AJ47" i="1" s="1"/>
  <c r="AI47" i="1"/>
  <c r="AK47" i="1" s="1"/>
  <c r="AI110" i="1"/>
  <c r="AK110" i="1" s="1"/>
  <c r="AH110" i="1"/>
  <c r="AJ110" i="1" s="1"/>
  <c r="AX110" i="1" s="1"/>
  <c r="AI99" i="1"/>
  <c r="AK99" i="1" s="1"/>
  <c r="AH99" i="1"/>
  <c r="AJ99" i="1" s="1"/>
  <c r="AI104" i="1"/>
  <c r="AK104" i="1" s="1"/>
  <c r="AH104" i="1"/>
  <c r="AJ104" i="1" s="1"/>
  <c r="AH146" i="1"/>
  <c r="AJ146" i="1" s="1"/>
  <c r="AI146" i="1"/>
  <c r="AK146" i="1" s="1"/>
  <c r="AH147" i="1"/>
  <c r="AJ147" i="1" s="1"/>
  <c r="AI147" i="1"/>
  <c r="AK147" i="1" s="1"/>
  <c r="AH58" i="1"/>
  <c r="AJ58" i="1" s="1"/>
  <c r="AI58" i="1"/>
  <c r="AK58" i="1" s="1"/>
  <c r="AH112" i="1"/>
  <c r="AJ112" i="1" s="1"/>
  <c r="AI112" i="1"/>
  <c r="AK112" i="1" s="1"/>
  <c r="AI132" i="1"/>
  <c r="AK132" i="1" s="1"/>
  <c r="AH132" i="1"/>
  <c r="AJ132" i="1" s="1"/>
  <c r="AH117" i="1"/>
  <c r="AJ117" i="1" s="1"/>
  <c r="AI117" i="1"/>
  <c r="AK117" i="1" s="1"/>
  <c r="AH46" i="1"/>
  <c r="AJ46" i="1" s="1"/>
  <c r="AI46" i="1"/>
  <c r="AK46" i="1" s="1"/>
  <c r="AI55" i="1"/>
  <c r="AK55" i="1" s="1"/>
  <c r="AH55" i="1"/>
  <c r="AJ55" i="1" s="1"/>
  <c r="AI52" i="1"/>
  <c r="AK52" i="1" s="1"/>
  <c r="AH52" i="1"/>
  <c r="AJ52" i="1" s="1"/>
  <c r="AI144" i="1"/>
  <c r="AK144" i="1" s="1"/>
  <c r="AH144" i="1"/>
  <c r="AJ144" i="1" s="1"/>
  <c r="AX144" i="1" s="1"/>
  <c r="AH43" i="1"/>
  <c r="AJ43" i="1" s="1"/>
  <c r="AI43" i="1"/>
  <c r="AK43" i="1" s="1"/>
  <c r="AH13" i="1"/>
  <c r="AJ13" i="1" s="1"/>
  <c r="AI13" i="1"/>
  <c r="AK13" i="1" s="1"/>
  <c r="AH16" i="1"/>
  <c r="AJ16" i="1" s="1"/>
  <c r="AI16" i="1"/>
  <c r="AK16" i="1" s="1"/>
  <c r="AI27" i="1"/>
  <c r="AK27" i="1" s="1"/>
  <c r="AH27" i="1"/>
  <c r="AJ27" i="1" s="1"/>
  <c r="AX27" i="1" s="1"/>
  <c r="AI9" i="1"/>
  <c r="AK9" i="1" s="1"/>
  <c r="AH9" i="1"/>
  <c r="AJ9" i="1" s="1"/>
  <c r="AI92" i="1"/>
  <c r="AK92" i="1" s="1"/>
  <c r="AH92" i="1"/>
  <c r="AJ92" i="1" s="1"/>
  <c r="AI48" i="1"/>
  <c r="AK48" i="1" s="1"/>
  <c r="AH48" i="1"/>
  <c r="AJ48" i="1" s="1"/>
  <c r="AI7" i="1"/>
  <c r="AK7" i="1" s="1"/>
  <c r="AH7" i="1"/>
  <c r="AJ7" i="1" s="1"/>
  <c r="AX7" i="1" s="1"/>
  <c r="AH54" i="1"/>
  <c r="AJ54" i="1" s="1"/>
  <c r="AI54" i="1"/>
  <c r="AK54" i="1" s="1"/>
  <c r="AI30" i="1"/>
  <c r="AK30" i="1" s="1"/>
  <c r="AH30" i="1"/>
  <c r="AJ30" i="1" s="1"/>
  <c r="AH122" i="1"/>
  <c r="AJ122" i="1" s="1"/>
  <c r="AI122" i="1"/>
  <c r="AK122" i="1" s="1"/>
  <c r="AH24" i="1"/>
  <c r="AJ24" i="1" s="1"/>
  <c r="AI24" i="1"/>
  <c r="AK24" i="1" s="1"/>
  <c r="AH50" i="1"/>
  <c r="AJ50" i="1" s="1"/>
  <c r="AI50" i="1"/>
  <c r="AK50" i="1" s="1"/>
  <c r="AI89" i="1"/>
  <c r="AK89" i="1" s="1"/>
  <c r="AH89" i="1"/>
  <c r="AJ89" i="1" s="1"/>
  <c r="AH63" i="1"/>
  <c r="AJ63" i="1" s="1"/>
  <c r="AI63" i="1"/>
  <c r="AK63" i="1" s="1"/>
  <c r="AI142" i="1"/>
  <c r="AK142" i="1" s="1"/>
  <c r="AH142" i="1"/>
  <c r="AJ142" i="1" s="1"/>
  <c r="AX142" i="1" s="1"/>
  <c r="AH5" i="1"/>
  <c r="AJ5" i="1" s="1"/>
  <c r="AI5" i="1"/>
  <c r="AK5" i="1" s="1"/>
  <c r="AI118" i="1"/>
  <c r="AK118" i="1" s="1"/>
  <c r="AH118" i="1"/>
  <c r="AJ118" i="1" s="1"/>
  <c r="AH90" i="1"/>
  <c r="AJ90" i="1" s="1"/>
  <c r="AI90" i="1"/>
  <c r="AK90" i="1" s="1"/>
  <c r="AH4" i="1"/>
  <c r="AJ4" i="1" s="1"/>
  <c r="AI4" i="1"/>
  <c r="AK4" i="1" s="1"/>
  <c r="AI135" i="1"/>
  <c r="AK135" i="1" s="1"/>
  <c r="AH135" i="1"/>
  <c r="AJ135" i="1" s="1"/>
  <c r="AH78" i="1"/>
  <c r="AJ78" i="1" s="1"/>
  <c r="AI78" i="1"/>
  <c r="AK78" i="1" s="1"/>
  <c r="AI87" i="1"/>
  <c r="AK87" i="1" s="1"/>
  <c r="AH87" i="1"/>
  <c r="AJ87" i="1" s="1"/>
  <c r="AI68" i="1"/>
  <c r="AK68" i="1" s="1"/>
  <c r="AH68" i="1"/>
  <c r="AJ68" i="1" s="1"/>
  <c r="AX68" i="1" s="1"/>
  <c r="AI29" i="1"/>
  <c r="AK29" i="1" s="1"/>
  <c r="AH29" i="1"/>
  <c r="AJ29" i="1" s="1"/>
  <c r="AH98" i="1"/>
  <c r="AJ98" i="1" s="1"/>
  <c r="AI98" i="1"/>
  <c r="AK98" i="1" s="1"/>
  <c r="AH59" i="1"/>
  <c r="AJ59" i="1" s="1"/>
  <c r="AI59" i="1"/>
  <c r="AK59" i="1" s="1"/>
  <c r="AI119" i="1"/>
  <c r="AK119" i="1" s="1"/>
  <c r="AH119" i="1"/>
  <c r="AJ119" i="1" s="1"/>
  <c r="AX119" i="1" s="1"/>
  <c r="AI12" i="1"/>
  <c r="AK12" i="1" s="1"/>
  <c r="AH12" i="1"/>
  <c r="AJ12" i="1" s="1"/>
  <c r="AI37" i="1"/>
  <c r="AK37" i="1" s="1"/>
  <c r="AH37" i="1"/>
  <c r="AJ37" i="1" s="1"/>
  <c r="AI11" i="1"/>
  <c r="AK11" i="1" s="1"/>
  <c r="AH11" i="1"/>
  <c r="AJ11" i="1" s="1"/>
  <c r="AI25" i="1"/>
  <c r="AK25" i="1" s="1"/>
  <c r="AH25" i="1"/>
  <c r="AJ25" i="1" s="1"/>
  <c r="AX25" i="1" s="1"/>
  <c r="AH69" i="1"/>
  <c r="AJ69" i="1" s="1"/>
  <c r="AI69" i="1"/>
  <c r="AK69" i="1" s="1"/>
  <c r="AI8" i="1"/>
  <c r="AK8" i="1" s="1"/>
  <c r="AH8" i="1"/>
  <c r="AJ8" i="1" s="1"/>
  <c r="AH65" i="1"/>
  <c r="AJ65" i="1" s="1"/>
  <c r="AI65" i="1"/>
  <c r="AK65" i="1" s="1"/>
  <c r="AI106" i="1"/>
  <c r="AK106" i="1" s="1"/>
  <c r="AH106" i="1"/>
  <c r="AJ106" i="1" s="1"/>
  <c r="AX106" i="1" s="1"/>
  <c r="AH91" i="1"/>
  <c r="AJ91" i="1" s="1"/>
  <c r="AI91" i="1"/>
  <c r="AK91" i="1" s="1"/>
  <c r="AH34" i="1"/>
  <c r="AJ34" i="1" s="1"/>
  <c r="AI34" i="1"/>
  <c r="AK34" i="1" s="1"/>
  <c r="AI72" i="1"/>
  <c r="AK72" i="1" s="1"/>
  <c r="AH72" i="1"/>
  <c r="AJ72" i="1" s="1"/>
  <c r="AH79" i="1"/>
  <c r="AJ79" i="1" s="1"/>
  <c r="AI79" i="1"/>
  <c r="AK79" i="1" s="1"/>
  <c r="AI44" i="1"/>
  <c r="AK44" i="1" s="1"/>
  <c r="AH44" i="1"/>
  <c r="AJ44" i="1" s="1"/>
  <c r="AH28" i="1"/>
  <c r="AJ28" i="1" s="1"/>
  <c r="AI28" i="1"/>
  <c r="AK28" i="1" s="1"/>
  <c r="AH74" i="1"/>
  <c r="AJ74" i="1" s="1"/>
  <c r="AI74" i="1"/>
  <c r="AK74" i="1" s="1"/>
  <c r="AH134" i="1"/>
  <c r="AJ134" i="1" s="1"/>
  <c r="AI134" i="1"/>
  <c r="AK134" i="1" s="1"/>
  <c r="AI49" i="1"/>
  <c r="AK49" i="1" s="1"/>
  <c r="AH49" i="1"/>
  <c r="AJ49" i="1" s="1"/>
  <c r="AH150" i="1"/>
  <c r="AJ150" i="1" s="1"/>
  <c r="AI150" i="1"/>
  <c r="AK150" i="1" s="1"/>
  <c r="AH21" i="1"/>
  <c r="AJ21" i="1" s="1"/>
  <c r="AI21" i="1"/>
  <c r="AK21" i="1" s="1"/>
  <c r="AI2" i="1"/>
  <c r="AK2" i="1" s="1"/>
  <c r="AH2" i="1"/>
  <c r="AJ2" i="1" s="1"/>
  <c r="AX2" i="1" s="1"/>
  <c r="AI149" i="1"/>
  <c r="AK149" i="1" s="1"/>
  <c r="AH149" i="1"/>
  <c r="AJ149" i="1" s="1"/>
  <c r="AI103" i="1"/>
  <c r="AK103" i="1" s="1"/>
  <c r="AH103" i="1"/>
  <c r="AJ103" i="1" s="1"/>
  <c r="AH84" i="1"/>
  <c r="AJ84" i="1" s="1"/>
  <c r="AI84" i="1"/>
  <c r="AK84" i="1" s="1"/>
  <c r="AH75" i="1"/>
  <c r="AJ75" i="1" s="1"/>
  <c r="AI75" i="1"/>
  <c r="AK75" i="1" s="1"/>
  <c r="AX18" i="1" l="1"/>
  <c r="AX91" i="1"/>
  <c r="AX69" i="1"/>
  <c r="AX5" i="1"/>
  <c r="AX50" i="1"/>
  <c r="AX54" i="1"/>
  <c r="AX43" i="1"/>
  <c r="AX46" i="1"/>
  <c r="AX58" i="1"/>
  <c r="AX94" i="1"/>
  <c r="AX17" i="1"/>
  <c r="AX151" i="1"/>
  <c r="AX22" i="1"/>
  <c r="AX66" i="1"/>
  <c r="AX61" i="1"/>
  <c r="AX72" i="1"/>
  <c r="AX11" i="1"/>
  <c r="AX87" i="1"/>
  <c r="AX48" i="1"/>
  <c r="AX52" i="1"/>
  <c r="AX132" i="1"/>
  <c r="AX124" i="1"/>
  <c r="AX123" i="1"/>
  <c r="AX81" i="1"/>
  <c r="AX35" i="1"/>
  <c r="AX88" i="1"/>
  <c r="AX121" i="1"/>
  <c r="AX130" i="1"/>
  <c r="AX136" i="1"/>
  <c r="AX103" i="1"/>
  <c r="AX8" i="1"/>
  <c r="AX37" i="1"/>
  <c r="AX118" i="1"/>
  <c r="AX89" i="1"/>
  <c r="AX30" i="1"/>
  <c r="AX92" i="1"/>
  <c r="AX55" i="1"/>
  <c r="AX104" i="1"/>
  <c r="AX62" i="1"/>
  <c r="AX73" i="1"/>
  <c r="AX150" i="1"/>
  <c r="AX28" i="1"/>
  <c r="AX34" i="1"/>
  <c r="AX98" i="1"/>
  <c r="AX78" i="1"/>
  <c r="AX13" i="1"/>
  <c r="AX112" i="1"/>
  <c r="AX107" i="1"/>
  <c r="AX113" i="1"/>
  <c r="AX14" i="1"/>
  <c r="AX41" i="1"/>
  <c r="AX93" i="1"/>
  <c r="AX149" i="1"/>
  <c r="AX49" i="1"/>
  <c r="AX44" i="1"/>
  <c r="AX12" i="1"/>
  <c r="AX29" i="1"/>
  <c r="AX135" i="1"/>
  <c r="AX9" i="1"/>
  <c r="AX99" i="1"/>
  <c r="AX20" i="1"/>
  <c r="AX60" i="1"/>
  <c r="AX143" i="1"/>
  <c r="AX101" i="1"/>
  <c r="AX114" i="1"/>
  <c r="AX115" i="1"/>
  <c r="AX126" i="1"/>
  <c r="AX80" i="1"/>
  <c r="AX108" i="1"/>
  <c r="AX105" i="1"/>
  <c r="AX116" i="1"/>
  <c r="AX53" i="1"/>
  <c r="AX76" i="1"/>
  <c r="AX97" i="1"/>
  <c r="AX32" i="1"/>
  <c r="AX75" i="1"/>
  <c r="AX134" i="1"/>
  <c r="AX79" i="1"/>
  <c r="AX4" i="1"/>
  <c r="AX24" i="1"/>
  <c r="AX117" i="1"/>
  <c r="AX147" i="1"/>
  <c r="AX133" i="1"/>
  <c r="AX127" i="1"/>
  <c r="AX131" i="1"/>
  <c r="AX15" i="1"/>
  <c r="AX83" i="1"/>
  <c r="AX95" i="1"/>
  <c r="AX82" i="1"/>
  <c r="AX139" i="1"/>
  <c r="AX111" i="1"/>
  <c r="AX10" i="1"/>
  <c r="AX84" i="1"/>
  <c r="AX21" i="1"/>
  <c r="AX74" i="1"/>
  <c r="AX65" i="1"/>
  <c r="AX59" i="1"/>
  <c r="AX90" i="1"/>
  <c r="AX63" i="1"/>
  <c r="AX122" i="1"/>
  <c r="AX16" i="1"/>
  <c r="AX146" i="1"/>
  <c r="AX47" i="1"/>
  <c r="AX125" i="1"/>
  <c r="AX100" i="1"/>
  <c r="AX26" i="1"/>
  <c r="AX39" i="1"/>
  <c r="AX64" i="1"/>
  <c r="AX85" i="1"/>
  <c r="AX145" i="1"/>
  <c r="AX36" i="1"/>
  <c r="AX33" i="1"/>
  <c r="AX86" i="1"/>
  <c r="AX57" i="1"/>
  <c r="AX109" i="1"/>
  <c r="AX45" i="1"/>
  <c r="AH128" i="1"/>
  <c r="AJ128" i="1" s="1"/>
  <c r="AX128" i="1" s="1"/>
  <c r="AH137" i="1"/>
  <c r="AJ137" i="1" s="1"/>
  <c r="AX137" i="1" s="1"/>
  <c r="AL80" i="1"/>
  <c r="AP80" i="1" s="1"/>
  <c r="AR80" i="1" s="1"/>
  <c r="AL108" i="1"/>
  <c r="AP108" i="1" s="1"/>
  <c r="AU108" i="1" s="1"/>
  <c r="AM129" i="1"/>
  <c r="AM77" i="1"/>
  <c r="AM71" i="1"/>
  <c r="AM148" i="1"/>
  <c r="AM140" i="1"/>
  <c r="AL61" i="1"/>
  <c r="AP61" i="1" s="1"/>
  <c r="AS61" i="1" s="1"/>
  <c r="AM41" i="1"/>
  <c r="AM93" i="1"/>
  <c r="AL18" i="1"/>
  <c r="AP18" i="1" s="1"/>
  <c r="AV18" i="1" s="1"/>
  <c r="AL146" i="1"/>
  <c r="AP146" i="1" s="1"/>
  <c r="AR146" i="1" s="1"/>
  <c r="AM52" i="1"/>
  <c r="AL100" i="1"/>
  <c r="AP100" i="1" s="1"/>
  <c r="AR100" i="1" s="1"/>
  <c r="AL122" i="1"/>
  <c r="AP122" i="1" s="1"/>
  <c r="AL26" i="1"/>
  <c r="AP26" i="1" s="1"/>
  <c r="AS26" i="1" s="1"/>
  <c r="AL16" i="1"/>
  <c r="AP16" i="1" s="1"/>
  <c r="AS16" i="1" s="1"/>
  <c r="AL47" i="1"/>
  <c r="AP47" i="1" s="1"/>
  <c r="AM48" i="1"/>
  <c r="AL125" i="1"/>
  <c r="AP125" i="1" s="1"/>
  <c r="AR125" i="1" s="1"/>
  <c r="AM132" i="1"/>
  <c r="AM97" i="1"/>
  <c r="AM32" i="1"/>
  <c r="AL66" i="1"/>
  <c r="AP66" i="1" s="1"/>
  <c r="AM103" i="1"/>
  <c r="AL150" i="1"/>
  <c r="AP150" i="1" s="1"/>
  <c r="AL28" i="1"/>
  <c r="AP28" i="1" s="1"/>
  <c r="AL34" i="1"/>
  <c r="AP34" i="1" s="1"/>
  <c r="AM8" i="1"/>
  <c r="AM37" i="1"/>
  <c r="AL98" i="1"/>
  <c r="AP98" i="1" s="1"/>
  <c r="AL78" i="1"/>
  <c r="AP78" i="1" s="1"/>
  <c r="AM118" i="1"/>
  <c r="AM89" i="1"/>
  <c r="AM30" i="1"/>
  <c r="AM92" i="1"/>
  <c r="AL13" i="1"/>
  <c r="AP13" i="1" s="1"/>
  <c r="AM55" i="1"/>
  <c r="AL112" i="1"/>
  <c r="AP112" i="1" s="1"/>
  <c r="AM104" i="1"/>
  <c r="AM62" i="1"/>
  <c r="AL107" i="1"/>
  <c r="AP107" i="1" s="1"/>
  <c r="AM73" i="1"/>
  <c r="AL113" i="1"/>
  <c r="AP113" i="1" s="1"/>
  <c r="AL14" i="1"/>
  <c r="AP14" i="1" s="1"/>
  <c r="AL56" i="1"/>
  <c r="AP56" i="1" s="1"/>
  <c r="AL42" i="1"/>
  <c r="AP42" i="1" s="1"/>
  <c r="AL19" i="1"/>
  <c r="AP19" i="1" s="1"/>
  <c r="AL51" i="1"/>
  <c r="AP51" i="1" s="1"/>
  <c r="AM57" i="1"/>
  <c r="AM109" i="1"/>
  <c r="AM35" i="1"/>
  <c r="AL36" i="1"/>
  <c r="AP36" i="1" s="1"/>
  <c r="AM88" i="1"/>
  <c r="AM121" i="1"/>
  <c r="AM130" i="1"/>
  <c r="AL33" i="1"/>
  <c r="AP33" i="1" s="1"/>
  <c r="AL111" i="1"/>
  <c r="AP111" i="1" s="1"/>
  <c r="AM38" i="1"/>
  <c r="AM120" i="1"/>
  <c r="AL10" i="1"/>
  <c r="AP10" i="1" s="1"/>
  <c r="AL136" i="1"/>
  <c r="AP136" i="1" s="1"/>
  <c r="AL31" i="1"/>
  <c r="AP31" i="1" s="1"/>
  <c r="AL67" i="1"/>
  <c r="AP67" i="1" s="1"/>
  <c r="AM96" i="1"/>
  <c r="AM102" i="1"/>
  <c r="AL127" i="1"/>
  <c r="AP127" i="1" s="1"/>
  <c r="AM40" i="1"/>
  <c r="AM105" i="1"/>
  <c r="AL151" i="1"/>
  <c r="AP151" i="1" s="1"/>
  <c r="AL22" i="1"/>
  <c r="AP22" i="1" s="1"/>
  <c r="AM116" i="1"/>
  <c r="AM53" i="1"/>
  <c r="AM45" i="1"/>
  <c r="AM18" i="1"/>
  <c r="AM149" i="1"/>
  <c r="AM12" i="1"/>
  <c r="AL54" i="1"/>
  <c r="AP54" i="1" s="1"/>
  <c r="AL75" i="1"/>
  <c r="AP75" i="1" s="1"/>
  <c r="AL74" i="1"/>
  <c r="AP74" i="1" s="1"/>
  <c r="AL65" i="1"/>
  <c r="AP65" i="1" s="1"/>
  <c r="AL59" i="1"/>
  <c r="AP59" i="1" s="1"/>
  <c r="AL90" i="1"/>
  <c r="AP90" i="1" s="1"/>
  <c r="AL39" i="1"/>
  <c r="AP39" i="1" s="1"/>
  <c r="AL64" i="1"/>
  <c r="AP64" i="1" s="1"/>
  <c r="AM124" i="1"/>
  <c r="AM123" i="1"/>
  <c r="AM81" i="1"/>
  <c r="AL85" i="1"/>
  <c r="AP85" i="1" s="1"/>
  <c r="AL145" i="1"/>
  <c r="AP145" i="1" s="1"/>
  <c r="AL15" i="1"/>
  <c r="AP15" i="1" s="1"/>
  <c r="AL83" i="1"/>
  <c r="AP83" i="1" s="1"/>
  <c r="AL95" i="1"/>
  <c r="AP95" i="1" s="1"/>
  <c r="AM70" i="1"/>
  <c r="AL82" i="1"/>
  <c r="AP82" i="1" s="1"/>
  <c r="AL139" i="1"/>
  <c r="AP139" i="1" s="1"/>
  <c r="AM76" i="1"/>
  <c r="AM44" i="1"/>
  <c r="AM135" i="1"/>
  <c r="AM9" i="1"/>
  <c r="AL84" i="1"/>
  <c r="AP84" i="1" s="1"/>
  <c r="AL21" i="1"/>
  <c r="AP21" i="1" s="1"/>
  <c r="AM72" i="1"/>
  <c r="AM11" i="1"/>
  <c r="AM87" i="1"/>
  <c r="AL63" i="1"/>
  <c r="AP63" i="1" s="1"/>
  <c r="AL69" i="1"/>
  <c r="AP69" i="1" s="1"/>
  <c r="AL50" i="1"/>
  <c r="AP50" i="1" s="1"/>
  <c r="AL46" i="1"/>
  <c r="AP46" i="1" s="1"/>
  <c r="AL58" i="1"/>
  <c r="AP58" i="1" s="1"/>
  <c r="AM99" i="1"/>
  <c r="AM20" i="1"/>
  <c r="AL94" i="1"/>
  <c r="AP94" i="1" s="1"/>
  <c r="AM60" i="1"/>
  <c r="AM143" i="1"/>
  <c r="AM101" i="1"/>
  <c r="AM114" i="1"/>
  <c r="AM115" i="1"/>
  <c r="AL17" i="1"/>
  <c r="AP17" i="1" s="1"/>
  <c r="AM126" i="1"/>
  <c r="AL86" i="1"/>
  <c r="AP86" i="1" s="1"/>
  <c r="AM49" i="1"/>
  <c r="AM29" i="1"/>
  <c r="AL43" i="1"/>
  <c r="AP43" i="1" s="1"/>
  <c r="AM2" i="1"/>
  <c r="AL134" i="1"/>
  <c r="AP134" i="1" s="1"/>
  <c r="AL79" i="1"/>
  <c r="AP79" i="1" s="1"/>
  <c r="AM106" i="1"/>
  <c r="AM25" i="1"/>
  <c r="AM119" i="1"/>
  <c r="AM68" i="1"/>
  <c r="AL4" i="1"/>
  <c r="AP4" i="1" s="1"/>
  <c r="AM142" i="1"/>
  <c r="AL24" i="1"/>
  <c r="AP24" i="1" s="1"/>
  <c r="AM7" i="1"/>
  <c r="AM27" i="1"/>
  <c r="AM144" i="1"/>
  <c r="AL117" i="1"/>
  <c r="AP117" i="1" s="1"/>
  <c r="AL147" i="1"/>
  <c r="AP147" i="1" s="1"/>
  <c r="AM110" i="1"/>
  <c r="AM138" i="1"/>
  <c r="AM3" i="1"/>
  <c r="AL133" i="1"/>
  <c r="AP133" i="1" s="1"/>
  <c r="AM6" i="1"/>
  <c r="AM23" i="1"/>
  <c r="AL131" i="1"/>
  <c r="AP131" i="1" s="1"/>
  <c r="AL91" i="1"/>
  <c r="AP91" i="1" s="1"/>
  <c r="AL5" i="1"/>
  <c r="AP5" i="1" s="1"/>
  <c r="AL103" i="1"/>
  <c r="AP103" i="1" s="1"/>
  <c r="AM150" i="1"/>
  <c r="AM28" i="1"/>
  <c r="AM34" i="1"/>
  <c r="AL8" i="1"/>
  <c r="AP8" i="1" s="1"/>
  <c r="AL37" i="1"/>
  <c r="AP37" i="1" s="1"/>
  <c r="AM98" i="1"/>
  <c r="AM78" i="1"/>
  <c r="AL118" i="1"/>
  <c r="AP118" i="1" s="1"/>
  <c r="AL89" i="1"/>
  <c r="AP89" i="1" s="1"/>
  <c r="AL30" i="1"/>
  <c r="AP30" i="1" s="1"/>
  <c r="AL92" i="1"/>
  <c r="AP92" i="1" s="1"/>
  <c r="AM13" i="1"/>
  <c r="AL55" i="1"/>
  <c r="AP55" i="1" s="1"/>
  <c r="AM112" i="1"/>
  <c r="AL104" i="1"/>
  <c r="AP104" i="1" s="1"/>
  <c r="AL62" i="1"/>
  <c r="AP62" i="1" s="1"/>
  <c r="AM107" i="1"/>
  <c r="AL73" i="1"/>
  <c r="AP73" i="1" s="1"/>
  <c r="AM113" i="1"/>
  <c r="AM14" i="1"/>
  <c r="AM56" i="1"/>
  <c r="AM42" i="1"/>
  <c r="AM19" i="1"/>
  <c r="AM51" i="1"/>
  <c r="AL57" i="1"/>
  <c r="AP57" i="1" s="1"/>
  <c r="AL109" i="1"/>
  <c r="AP109" i="1" s="1"/>
  <c r="AL35" i="1"/>
  <c r="AP35" i="1" s="1"/>
  <c r="AM36" i="1"/>
  <c r="AL88" i="1"/>
  <c r="AP88" i="1" s="1"/>
  <c r="AL121" i="1"/>
  <c r="AP121" i="1" s="1"/>
  <c r="AL130" i="1"/>
  <c r="AP130" i="1" s="1"/>
  <c r="AM33" i="1"/>
  <c r="AM111" i="1"/>
  <c r="AL97" i="1"/>
  <c r="AP97" i="1" s="1"/>
  <c r="AL32" i="1"/>
  <c r="AP32" i="1" s="1"/>
  <c r="AM66" i="1"/>
  <c r="AL149" i="1"/>
  <c r="AP149" i="1" s="1"/>
  <c r="AL49" i="1"/>
  <c r="AP49" i="1" s="1"/>
  <c r="AL44" i="1"/>
  <c r="AP44" i="1" s="1"/>
  <c r="AM91" i="1"/>
  <c r="AM69" i="1"/>
  <c r="AL12" i="1"/>
  <c r="AP12" i="1" s="1"/>
  <c r="AL29" i="1"/>
  <c r="AP29" i="1" s="1"/>
  <c r="AL135" i="1"/>
  <c r="AP135" i="1" s="1"/>
  <c r="AM5" i="1"/>
  <c r="AM50" i="1"/>
  <c r="AM54" i="1"/>
  <c r="AL9" i="1"/>
  <c r="AP9" i="1" s="1"/>
  <c r="AM43" i="1"/>
  <c r="AM46" i="1"/>
  <c r="AM58" i="1"/>
  <c r="AL99" i="1"/>
  <c r="AP99" i="1" s="1"/>
  <c r="AL20" i="1"/>
  <c r="AP20" i="1" s="1"/>
  <c r="AM94" i="1"/>
  <c r="AL60" i="1"/>
  <c r="AP60" i="1" s="1"/>
  <c r="AL143" i="1"/>
  <c r="AP143" i="1" s="1"/>
  <c r="AL101" i="1"/>
  <c r="AP101" i="1" s="1"/>
  <c r="AL114" i="1"/>
  <c r="AP114" i="1" s="1"/>
  <c r="AL115" i="1"/>
  <c r="AP115" i="1" s="1"/>
  <c r="AM17" i="1"/>
  <c r="AL126" i="1"/>
  <c r="AP126" i="1" s="1"/>
  <c r="AM86" i="1"/>
  <c r="AL38" i="1"/>
  <c r="AP38" i="1" s="1"/>
  <c r="AL120" i="1"/>
  <c r="AP120" i="1" s="1"/>
  <c r="AM10" i="1"/>
  <c r="AM80" i="1"/>
  <c r="AM108" i="1"/>
  <c r="AL129" i="1"/>
  <c r="AP129" i="1" s="1"/>
  <c r="AL77" i="1"/>
  <c r="AP77" i="1" s="1"/>
  <c r="AL71" i="1"/>
  <c r="AP71" i="1" s="1"/>
  <c r="AL148" i="1"/>
  <c r="AP148" i="1" s="1"/>
  <c r="AL140" i="1"/>
  <c r="AP140" i="1" s="1"/>
  <c r="AM75" i="1"/>
  <c r="AL2" i="1"/>
  <c r="AM134" i="1"/>
  <c r="AM79" i="1"/>
  <c r="AL106" i="1"/>
  <c r="AP106" i="1" s="1"/>
  <c r="AL25" i="1"/>
  <c r="AP25" i="1" s="1"/>
  <c r="AL119" i="1"/>
  <c r="AP119" i="1" s="1"/>
  <c r="AL68" i="1"/>
  <c r="AP68" i="1" s="1"/>
  <c r="AM4" i="1"/>
  <c r="AL142" i="1"/>
  <c r="AP142" i="1" s="1"/>
  <c r="AM24" i="1"/>
  <c r="AL7" i="1"/>
  <c r="AP7" i="1" s="1"/>
  <c r="AL27" i="1"/>
  <c r="AP27" i="1" s="1"/>
  <c r="AL144" i="1"/>
  <c r="AP144" i="1" s="1"/>
  <c r="AM117" i="1"/>
  <c r="AM147" i="1"/>
  <c r="AL110" i="1"/>
  <c r="AP110" i="1" s="1"/>
  <c r="AL138" i="1"/>
  <c r="AP138" i="1" s="1"/>
  <c r="AL3" i="1"/>
  <c r="AP3" i="1" s="1"/>
  <c r="AM133" i="1"/>
  <c r="AL6" i="1"/>
  <c r="AP6" i="1" s="1"/>
  <c r="AL96" i="1"/>
  <c r="AP96" i="1" s="1"/>
  <c r="AL102" i="1"/>
  <c r="AP102" i="1" s="1"/>
  <c r="AM127" i="1"/>
  <c r="AL40" i="1"/>
  <c r="AP40" i="1" s="1"/>
  <c r="AL23" i="1"/>
  <c r="AP23" i="1" s="1"/>
  <c r="AM131" i="1"/>
  <c r="AL105" i="1"/>
  <c r="AP105" i="1" s="1"/>
  <c r="AM151" i="1"/>
  <c r="AM22" i="1"/>
  <c r="AL116" i="1"/>
  <c r="AP116" i="1" s="1"/>
  <c r="AL53" i="1"/>
  <c r="AP53" i="1" s="1"/>
  <c r="AL45" i="1"/>
  <c r="AP45" i="1" s="1"/>
  <c r="AH141" i="1"/>
  <c r="AJ141" i="1" s="1"/>
  <c r="AI141" i="1"/>
  <c r="AK141" i="1" s="1"/>
  <c r="AM136" i="1"/>
  <c r="AM31" i="1"/>
  <c r="AM67" i="1"/>
  <c r="AM61" i="1"/>
  <c r="AL41" i="1"/>
  <c r="AP41" i="1" s="1"/>
  <c r="AL93" i="1"/>
  <c r="AP93" i="1" s="1"/>
  <c r="AM84" i="1"/>
  <c r="AM21" i="1"/>
  <c r="AM74" i="1"/>
  <c r="AL72" i="1"/>
  <c r="AP72" i="1" s="1"/>
  <c r="AM65" i="1"/>
  <c r="AL11" i="1"/>
  <c r="AP11" i="1" s="1"/>
  <c r="AM59" i="1"/>
  <c r="AL87" i="1"/>
  <c r="AP87" i="1" s="1"/>
  <c r="AM90" i="1"/>
  <c r="AM63" i="1"/>
  <c r="AM122" i="1"/>
  <c r="AL48" i="1"/>
  <c r="AP48" i="1" s="1"/>
  <c r="AM16" i="1"/>
  <c r="AL52" i="1"/>
  <c r="AP52" i="1" s="1"/>
  <c r="AL132" i="1"/>
  <c r="AP132" i="1" s="1"/>
  <c r="AM146" i="1"/>
  <c r="AM47" i="1"/>
  <c r="AM125" i="1"/>
  <c r="AM100" i="1"/>
  <c r="AM26" i="1"/>
  <c r="AM39" i="1"/>
  <c r="AM64" i="1"/>
  <c r="AL124" i="1"/>
  <c r="AP124" i="1" s="1"/>
  <c r="AL123" i="1"/>
  <c r="AP123" i="1" s="1"/>
  <c r="AL81" i="1"/>
  <c r="AP81" i="1" s="1"/>
  <c r="AM85" i="1"/>
  <c r="AM145" i="1"/>
  <c r="AM15" i="1"/>
  <c r="AM83" i="1"/>
  <c r="AM95" i="1"/>
  <c r="AL70" i="1"/>
  <c r="AP70" i="1" s="1"/>
  <c r="AM82" i="1"/>
  <c r="AM139" i="1"/>
  <c r="AL76" i="1"/>
  <c r="AP76" i="1" s="1"/>
  <c r="AX141" i="1" l="1"/>
  <c r="AR108" i="1"/>
  <c r="AL128" i="1"/>
  <c r="AP128" i="1" s="1"/>
  <c r="AS128" i="1" s="1"/>
  <c r="AM137" i="1"/>
  <c r="AM128" i="1"/>
  <c r="AS18" i="1"/>
  <c r="AL137" i="1"/>
  <c r="AP137" i="1" s="1"/>
  <c r="AV137" i="1" s="1"/>
  <c r="AR18" i="1"/>
  <c r="AU80" i="1"/>
  <c r="AV80" i="1"/>
  <c r="AS80" i="1"/>
  <c r="AS108" i="1"/>
  <c r="AV108" i="1"/>
  <c r="AR61" i="1"/>
  <c r="AU61" i="1"/>
  <c r="AS146" i="1"/>
  <c r="AU18" i="1"/>
  <c r="AV61" i="1"/>
  <c r="AS100" i="1"/>
  <c r="AR26" i="1"/>
  <c r="AU135" i="1"/>
  <c r="AV135" i="1"/>
  <c r="AV90" i="1"/>
  <c r="AU90" i="1"/>
  <c r="AU28" i="1"/>
  <c r="AV28" i="1"/>
  <c r="AV16" i="1"/>
  <c r="AU16" i="1"/>
  <c r="AV122" i="1"/>
  <c r="AU122" i="1"/>
  <c r="AU129" i="1"/>
  <c r="AV129" i="1"/>
  <c r="AU149" i="1"/>
  <c r="AV149" i="1"/>
  <c r="AU81" i="1"/>
  <c r="AV81" i="1"/>
  <c r="AU3" i="1"/>
  <c r="AV3" i="1"/>
  <c r="AV8" i="1"/>
  <c r="AU8" i="1"/>
  <c r="AU31" i="1"/>
  <c r="AV31" i="1"/>
  <c r="AU87" i="1"/>
  <c r="AV87" i="1"/>
  <c r="AU86" i="1"/>
  <c r="AV86" i="1"/>
  <c r="AU105" i="1"/>
  <c r="AV105" i="1"/>
  <c r="AV106" i="1"/>
  <c r="AU106" i="1"/>
  <c r="AU43" i="1"/>
  <c r="AV43" i="1"/>
  <c r="AU84" i="1"/>
  <c r="AV84" i="1"/>
  <c r="AV14" i="1"/>
  <c r="AU14" i="1"/>
  <c r="AU20" i="1"/>
  <c r="AV20" i="1"/>
  <c r="AU55" i="1"/>
  <c r="AV55" i="1"/>
  <c r="AU147" i="1"/>
  <c r="AV147" i="1"/>
  <c r="AV50" i="1"/>
  <c r="AU50" i="1"/>
  <c r="AU83" i="1"/>
  <c r="AV83" i="1"/>
  <c r="AU67" i="1"/>
  <c r="AV67" i="1"/>
  <c r="AU113" i="1"/>
  <c r="AV113" i="1"/>
  <c r="AV34" i="1"/>
  <c r="AU34" i="1"/>
  <c r="AU47" i="1"/>
  <c r="AV47" i="1"/>
  <c r="AV117" i="1"/>
  <c r="AU117" i="1"/>
  <c r="AU69" i="1"/>
  <c r="AV69" i="1"/>
  <c r="AU15" i="1"/>
  <c r="AV15" i="1"/>
  <c r="AU22" i="1"/>
  <c r="AV22" i="1"/>
  <c r="AU123" i="1"/>
  <c r="AV123" i="1"/>
  <c r="AU93" i="1"/>
  <c r="AV93" i="1"/>
  <c r="AU23" i="1"/>
  <c r="AV23" i="1"/>
  <c r="AU142" i="1"/>
  <c r="AV142" i="1"/>
  <c r="AU29" i="1"/>
  <c r="AV29" i="1"/>
  <c r="AU35" i="1"/>
  <c r="AV35" i="1"/>
  <c r="AU92" i="1"/>
  <c r="AV92" i="1"/>
  <c r="AU63" i="1"/>
  <c r="AV63" i="1"/>
  <c r="AU145" i="1"/>
  <c r="AV145" i="1"/>
  <c r="AU59" i="1"/>
  <c r="AV59" i="1"/>
  <c r="AU151" i="1"/>
  <c r="AV151" i="1"/>
  <c r="AV136" i="1"/>
  <c r="AU136" i="1"/>
  <c r="AU111" i="1"/>
  <c r="AV111" i="1"/>
  <c r="AU107" i="1"/>
  <c r="AV107" i="1"/>
  <c r="AU150" i="1"/>
  <c r="AV150" i="1"/>
  <c r="AR16" i="1"/>
  <c r="AU100" i="1"/>
  <c r="AV100" i="1"/>
  <c r="AU70" i="1"/>
  <c r="AV70" i="1"/>
  <c r="AU124" i="1"/>
  <c r="AV124" i="1"/>
  <c r="AU132" i="1"/>
  <c r="AV132" i="1"/>
  <c r="AU41" i="1"/>
  <c r="AV41" i="1"/>
  <c r="AU53" i="1"/>
  <c r="AV53" i="1"/>
  <c r="AV40" i="1"/>
  <c r="AU40" i="1"/>
  <c r="AU110" i="1"/>
  <c r="AV110" i="1"/>
  <c r="AV114" i="1"/>
  <c r="AU114" i="1"/>
  <c r="AU12" i="1"/>
  <c r="AV12" i="1"/>
  <c r="AU97" i="1"/>
  <c r="AV97" i="1"/>
  <c r="AV109" i="1"/>
  <c r="AU109" i="1"/>
  <c r="AU73" i="1"/>
  <c r="AV73" i="1"/>
  <c r="AU30" i="1"/>
  <c r="AV30" i="1"/>
  <c r="AU94" i="1"/>
  <c r="AV94" i="1"/>
  <c r="AV85" i="1"/>
  <c r="AU85" i="1"/>
  <c r="AU65" i="1"/>
  <c r="AV65" i="1"/>
  <c r="AU33" i="1"/>
  <c r="AV33" i="1"/>
  <c r="AU51" i="1"/>
  <c r="AV51" i="1"/>
  <c r="AS125" i="1"/>
  <c r="AR122" i="1"/>
  <c r="AU6" i="1"/>
  <c r="AV6" i="1"/>
  <c r="AU49" i="1"/>
  <c r="AV49" i="1"/>
  <c r="AU91" i="1"/>
  <c r="AV91" i="1"/>
  <c r="AV64" i="1"/>
  <c r="AU64" i="1"/>
  <c r="AU13" i="1"/>
  <c r="AV13" i="1"/>
  <c r="AU7" i="1"/>
  <c r="AV7" i="1"/>
  <c r="AU126" i="1"/>
  <c r="AV126" i="1"/>
  <c r="AV88" i="1"/>
  <c r="AU88" i="1"/>
  <c r="AV37" i="1"/>
  <c r="AU37" i="1"/>
  <c r="AU39" i="1"/>
  <c r="AV39" i="1"/>
  <c r="AV26" i="1"/>
  <c r="AU26" i="1"/>
  <c r="AU99" i="1"/>
  <c r="AV99" i="1"/>
  <c r="AU131" i="1"/>
  <c r="AV131" i="1"/>
  <c r="AV45" i="1"/>
  <c r="AU45" i="1"/>
  <c r="AV138" i="1"/>
  <c r="AU138" i="1"/>
  <c r="AU115" i="1"/>
  <c r="AV115" i="1"/>
  <c r="AV32" i="1"/>
  <c r="AU32" i="1"/>
  <c r="AU52" i="1"/>
  <c r="AV52" i="1"/>
  <c r="AU11" i="1"/>
  <c r="AV11" i="1"/>
  <c r="AU116" i="1"/>
  <c r="AV116" i="1"/>
  <c r="AU68" i="1"/>
  <c r="AV68" i="1"/>
  <c r="AU140" i="1"/>
  <c r="AV140" i="1"/>
  <c r="AV120" i="1"/>
  <c r="AU120" i="1"/>
  <c r="AV101" i="1"/>
  <c r="AU101" i="1"/>
  <c r="AU57" i="1"/>
  <c r="AV57" i="1"/>
  <c r="AU89" i="1"/>
  <c r="AV89" i="1"/>
  <c r="AU133" i="1"/>
  <c r="AV133" i="1"/>
  <c r="AU79" i="1"/>
  <c r="AV79" i="1"/>
  <c r="AU139" i="1"/>
  <c r="AV139" i="1"/>
  <c r="AV74" i="1"/>
  <c r="AU74" i="1"/>
  <c r="AU19" i="1"/>
  <c r="AV19" i="1"/>
  <c r="AV78" i="1"/>
  <c r="AU78" i="1"/>
  <c r="AV66" i="1"/>
  <c r="AU66" i="1"/>
  <c r="AS122" i="1"/>
  <c r="AV146" i="1"/>
  <c r="AU146" i="1"/>
  <c r="AU27" i="1"/>
  <c r="AV27" i="1"/>
  <c r="AU121" i="1"/>
  <c r="AV121" i="1"/>
  <c r="AU4" i="1"/>
  <c r="AV4" i="1"/>
  <c r="AU95" i="1"/>
  <c r="AV95" i="1"/>
  <c r="AU36" i="1"/>
  <c r="AV36" i="1"/>
  <c r="AU76" i="1"/>
  <c r="AV76" i="1"/>
  <c r="AU102" i="1"/>
  <c r="AV102" i="1"/>
  <c r="AU119" i="1"/>
  <c r="AV119" i="1"/>
  <c r="AU148" i="1"/>
  <c r="AV148" i="1"/>
  <c r="AU38" i="1"/>
  <c r="AV38" i="1"/>
  <c r="AU143" i="1"/>
  <c r="AV143" i="1"/>
  <c r="AU9" i="1"/>
  <c r="AV9" i="1"/>
  <c r="AU62" i="1"/>
  <c r="AV62" i="1"/>
  <c r="AU118" i="1"/>
  <c r="AV118" i="1"/>
  <c r="AU103" i="1"/>
  <c r="AV103" i="1"/>
  <c r="AU24" i="1"/>
  <c r="AV24" i="1"/>
  <c r="AV134" i="1"/>
  <c r="AU134" i="1"/>
  <c r="AU17" i="1"/>
  <c r="AV17" i="1"/>
  <c r="AV82" i="1"/>
  <c r="AU82" i="1"/>
  <c r="AU75" i="1"/>
  <c r="AV75" i="1"/>
  <c r="AU127" i="1"/>
  <c r="AV127" i="1"/>
  <c r="AV42" i="1"/>
  <c r="AU42" i="1"/>
  <c r="AV112" i="1"/>
  <c r="AU112" i="1"/>
  <c r="AV98" i="1"/>
  <c r="AU98" i="1"/>
  <c r="AR47" i="1"/>
  <c r="AV77" i="1"/>
  <c r="AU77" i="1"/>
  <c r="AV46" i="1"/>
  <c r="AU46" i="1"/>
  <c r="AV10" i="1"/>
  <c r="AU10" i="1"/>
  <c r="AU48" i="1"/>
  <c r="AV48" i="1"/>
  <c r="AV72" i="1"/>
  <c r="AU72" i="1"/>
  <c r="AU96" i="1"/>
  <c r="AV96" i="1"/>
  <c r="AU144" i="1"/>
  <c r="AV144" i="1"/>
  <c r="AU25" i="1"/>
  <c r="AV25" i="1"/>
  <c r="AU71" i="1"/>
  <c r="AV71" i="1"/>
  <c r="AU60" i="1"/>
  <c r="AV60" i="1"/>
  <c r="AU44" i="1"/>
  <c r="AV44" i="1"/>
  <c r="AV130" i="1"/>
  <c r="AU130" i="1"/>
  <c r="AV104" i="1"/>
  <c r="AU104" i="1"/>
  <c r="AU5" i="1"/>
  <c r="AV5" i="1"/>
  <c r="AV58" i="1"/>
  <c r="AU58" i="1"/>
  <c r="AV21" i="1"/>
  <c r="AU21" i="1"/>
  <c r="AU54" i="1"/>
  <c r="AV54" i="1"/>
  <c r="AV56" i="1"/>
  <c r="AU56" i="1"/>
  <c r="AS47" i="1"/>
  <c r="AV125" i="1"/>
  <c r="AU125" i="1"/>
  <c r="AR123" i="1"/>
  <c r="AS123" i="1"/>
  <c r="AR87" i="1"/>
  <c r="AS87" i="1"/>
  <c r="AS132" i="1"/>
  <c r="AR132" i="1"/>
  <c r="AR40" i="1"/>
  <c r="AS40" i="1"/>
  <c r="AS114" i="1"/>
  <c r="AR114" i="1"/>
  <c r="AS97" i="1"/>
  <c r="AR97" i="1"/>
  <c r="AR30" i="1"/>
  <c r="AS30" i="1"/>
  <c r="AS33" i="1"/>
  <c r="AR33" i="1"/>
  <c r="AS52" i="1"/>
  <c r="AR52" i="1"/>
  <c r="AS116" i="1"/>
  <c r="AR116" i="1"/>
  <c r="AS68" i="1"/>
  <c r="AR68" i="1"/>
  <c r="AR120" i="1"/>
  <c r="AS120" i="1"/>
  <c r="AS89" i="1"/>
  <c r="AR89" i="1"/>
  <c r="AS139" i="1"/>
  <c r="AR139" i="1"/>
  <c r="AR67" i="1"/>
  <c r="AS67" i="1"/>
  <c r="AR78" i="1"/>
  <c r="AS78" i="1"/>
  <c r="AR38" i="1"/>
  <c r="AS38" i="1"/>
  <c r="AR103" i="1"/>
  <c r="AS103" i="1"/>
  <c r="AR134" i="1"/>
  <c r="AS134" i="1"/>
  <c r="AS82" i="1"/>
  <c r="AR82" i="1"/>
  <c r="AR22" i="1"/>
  <c r="AS22" i="1"/>
  <c r="AR112" i="1"/>
  <c r="AS112" i="1"/>
  <c r="AR48" i="1"/>
  <c r="AS48" i="1"/>
  <c r="AR144" i="1"/>
  <c r="AS144" i="1"/>
  <c r="AS58" i="1"/>
  <c r="AR58" i="1"/>
  <c r="AR21" i="1"/>
  <c r="AS21" i="1"/>
  <c r="AR54" i="1"/>
  <c r="AS54" i="1"/>
  <c r="AR151" i="1"/>
  <c r="AS151" i="1"/>
  <c r="AR136" i="1"/>
  <c r="AS136" i="1"/>
  <c r="AR56" i="1"/>
  <c r="AS56" i="1"/>
  <c r="AR70" i="1"/>
  <c r="AS70" i="1"/>
  <c r="AS41" i="1"/>
  <c r="AR41" i="1"/>
  <c r="AR110" i="1"/>
  <c r="AS110" i="1"/>
  <c r="AR12" i="1"/>
  <c r="AS12" i="1"/>
  <c r="AS73" i="1"/>
  <c r="AR73" i="1"/>
  <c r="AR94" i="1"/>
  <c r="AS94" i="1"/>
  <c r="AR85" i="1"/>
  <c r="AS85" i="1"/>
  <c r="AR51" i="1"/>
  <c r="AS51" i="1"/>
  <c r="AR11" i="1"/>
  <c r="AS11" i="1"/>
  <c r="AS140" i="1"/>
  <c r="AR140" i="1"/>
  <c r="AR101" i="1"/>
  <c r="AS101" i="1"/>
  <c r="AS57" i="1"/>
  <c r="AR57" i="1"/>
  <c r="AR79" i="1"/>
  <c r="AS79" i="1"/>
  <c r="AS74" i="1"/>
  <c r="AR74" i="1"/>
  <c r="AS66" i="1"/>
  <c r="AR66" i="1"/>
  <c r="AS148" i="1"/>
  <c r="AR148" i="1"/>
  <c r="AS9" i="1"/>
  <c r="AR9" i="1"/>
  <c r="AR62" i="1"/>
  <c r="AS62" i="1"/>
  <c r="AR24" i="1"/>
  <c r="AS24" i="1"/>
  <c r="AS75" i="1"/>
  <c r="AR75" i="1"/>
  <c r="AS98" i="1"/>
  <c r="AR98" i="1"/>
  <c r="AR72" i="1"/>
  <c r="AS72" i="1"/>
  <c r="AR96" i="1"/>
  <c r="AS96" i="1"/>
  <c r="AS71" i="1"/>
  <c r="AR71" i="1"/>
  <c r="AS44" i="1"/>
  <c r="AR44" i="1"/>
  <c r="AR5" i="1"/>
  <c r="AS5" i="1"/>
  <c r="AS105" i="1"/>
  <c r="AR105" i="1"/>
  <c r="AS27" i="1"/>
  <c r="AR27" i="1"/>
  <c r="AR77" i="1"/>
  <c r="AS77" i="1"/>
  <c r="AR128" i="1"/>
  <c r="AS49" i="1"/>
  <c r="AR49" i="1"/>
  <c r="AS121" i="1"/>
  <c r="AR121" i="1"/>
  <c r="AR91" i="1"/>
  <c r="AS91" i="1"/>
  <c r="AS4" i="1"/>
  <c r="AR4" i="1"/>
  <c r="AS43" i="1"/>
  <c r="AR43" i="1"/>
  <c r="AR46" i="1"/>
  <c r="AS46" i="1"/>
  <c r="AS84" i="1"/>
  <c r="AR84" i="1"/>
  <c r="AR95" i="1"/>
  <c r="AS95" i="1"/>
  <c r="AR64" i="1"/>
  <c r="AS64" i="1"/>
  <c r="AS10" i="1"/>
  <c r="AR10" i="1"/>
  <c r="AS36" i="1"/>
  <c r="AR36" i="1"/>
  <c r="AR14" i="1"/>
  <c r="AS14" i="1"/>
  <c r="AR13" i="1"/>
  <c r="AS13" i="1"/>
  <c r="AS81" i="1"/>
  <c r="AR81" i="1"/>
  <c r="AS124" i="1"/>
  <c r="AR124" i="1"/>
  <c r="AR53" i="1"/>
  <c r="AS53" i="1"/>
  <c r="AR109" i="1"/>
  <c r="AS109" i="1"/>
  <c r="AS65" i="1"/>
  <c r="AR65" i="1"/>
  <c r="AR133" i="1"/>
  <c r="AS133" i="1"/>
  <c r="AS19" i="1"/>
  <c r="AR19" i="1"/>
  <c r="AR102" i="1"/>
  <c r="AS102" i="1"/>
  <c r="AR119" i="1"/>
  <c r="AS119" i="1"/>
  <c r="AR143" i="1"/>
  <c r="AS143" i="1"/>
  <c r="AR118" i="1"/>
  <c r="AS118" i="1"/>
  <c r="AS17" i="1"/>
  <c r="AR17" i="1"/>
  <c r="AS31" i="1"/>
  <c r="AR31" i="1"/>
  <c r="AS42" i="1"/>
  <c r="AR42" i="1"/>
  <c r="AS25" i="1"/>
  <c r="AR25" i="1"/>
  <c r="AS60" i="1"/>
  <c r="AR60" i="1"/>
  <c r="AS130" i="1"/>
  <c r="AR130" i="1"/>
  <c r="AR104" i="1"/>
  <c r="AS104" i="1"/>
  <c r="AR6" i="1"/>
  <c r="AS6" i="1"/>
  <c r="AS106" i="1"/>
  <c r="AR106" i="1"/>
  <c r="AS76" i="1"/>
  <c r="AR76" i="1"/>
  <c r="AS7" i="1"/>
  <c r="AR7" i="1"/>
  <c r="AS129" i="1"/>
  <c r="AR129" i="1"/>
  <c r="AR126" i="1"/>
  <c r="AS126" i="1"/>
  <c r="AR20" i="1"/>
  <c r="AS20" i="1"/>
  <c r="AR149" i="1"/>
  <c r="AS149" i="1"/>
  <c r="AR88" i="1"/>
  <c r="AS88" i="1"/>
  <c r="AS55" i="1"/>
  <c r="AR55" i="1"/>
  <c r="AR37" i="1"/>
  <c r="AS37" i="1"/>
  <c r="AR147" i="1"/>
  <c r="AS147" i="1"/>
  <c r="AS50" i="1"/>
  <c r="AR50" i="1"/>
  <c r="AR83" i="1"/>
  <c r="AS83" i="1"/>
  <c r="AS39" i="1"/>
  <c r="AR39" i="1"/>
  <c r="AS113" i="1"/>
  <c r="AR113" i="1"/>
  <c r="AS34" i="1"/>
  <c r="AR34" i="1"/>
  <c r="AS3" i="1"/>
  <c r="AR3" i="1"/>
  <c r="AS99" i="1"/>
  <c r="AR99" i="1"/>
  <c r="AR135" i="1"/>
  <c r="AS135" i="1"/>
  <c r="AR8" i="1"/>
  <c r="AS8" i="1"/>
  <c r="AS131" i="1"/>
  <c r="AR131" i="1"/>
  <c r="AR117" i="1"/>
  <c r="AS117" i="1"/>
  <c r="AR69" i="1"/>
  <c r="AS69" i="1"/>
  <c r="AS15" i="1"/>
  <c r="AR15" i="1"/>
  <c r="AS90" i="1"/>
  <c r="AR90" i="1"/>
  <c r="AR127" i="1"/>
  <c r="AS127" i="1"/>
  <c r="AS28" i="1"/>
  <c r="AR28" i="1"/>
  <c r="AR93" i="1"/>
  <c r="AS93" i="1"/>
  <c r="AR45" i="1"/>
  <c r="AS45" i="1"/>
  <c r="AS23" i="1"/>
  <c r="AR23" i="1"/>
  <c r="AS138" i="1"/>
  <c r="AR138" i="1"/>
  <c r="AR142" i="1"/>
  <c r="AS142" i="1"/>
  <c r="AP2" i="1"/>
  <c r="AR115" i="1"/>
  <c r="AS115" i="1"/>
  <c r="AR29" i="1"/>
  <c r="AS29" i="1"/>
  <c r="AR32" i="1"/>
  <c r="AS32" i="1"/>
  <c r="AS35" i="1"/>
  <c r="AR35" i="1"/>
  <c r="AS92" i="1"/>
  <c r="AR92" i="1"/>
  <c r="AR86" i="1"/>
  <c r="AS86" i="1"/>
  <c r="AS63" i="1"/>
  <c r="AR63" i="1"/>
  <c r="AS145" i="1"/>
  <c r="AR145" i="1"/>
  <c r="AR59" i="1"/>
  <c r="AS59" i="1"/>
  <c r="AR111" i="1"/>
  <c r="AS111" i="1"/>
  <c r="AS107" i="1"/>
  <c r="AR107" i="1"/>
  <c r="AR150" i="1"/>
  <c r="AS150" i="1"/>
  <c r="AM141" i="1"/>
  <c r="AM152" i="1" s="1"/>
  <c r="AL141" i="1"/>
  <c r="AP141" i="1" s="1"/>
  <c r="AR137" i="1" l="1"/>
  <c r="AS137" i="1"/>
  <c r="AV128" i="1"/>
  <c r="AU128" i="1"/>
  <c r="AU137" i="1"/>
  <c r="AL152" i="1"/>
  <c r="AV141" i="1"/>
  <c r="AU141" i="1"/>
  <c r="AV2" i="1"/>
  <c r="AU2" i="1"/>
  <c r="AR141" i="1"/>
  <c r="AS141" i="1"/>
  <c r="AS2" i="1"/>
  <c r="AR2" i="1"/>
</calcChain>
</file>

<file path=xl/sharedStrings.xml><?xml version="1.0" encoding="utf-8"?>
<sst xmlns="http://schemas.openxmlformats.org/spreadsheetml/2006/main" count="460" uniqueCount="212">
  <si>
    <t>Division</t>
  </si>
  <si>
    <t>State</t>
  </si>
  <si>
    <t>ALP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</si>
  <si>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</si>
  <si>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</si>
  <si>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</si>
  <si>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</si>
  <si>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</si>
  <si>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</si>
  <si>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</si>
  <si>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</si>
  <si>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</si>
  <si>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</si>
  <si>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</si>
  <si>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</si>
  <si>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</si>
  <si>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</si>
  <si>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Batman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</si>
  <si>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</si>
  <si>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</si>
  <si>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</si>
  <si>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</si>
  <si>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</si>
  <si>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</si>
  <si>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</si>
  <si>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</si>
  <si>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</si>
  <si>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</si>
  <si>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</si>
  <si>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</si>
  <si>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</si>
  <si>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</si>
  <si>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</si>
  <si>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</si>
  <si>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</si>
  <si>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</si>
  <si>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</si>
  <si>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</si>
  <si>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</si>
  <si>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</si>
  <si>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</si>
  <si>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</si>
  <si>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</si>
  <si>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</si>
  <si>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</si>
  <si>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</si>
  <si>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</si>
  <si>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</si>
  <si>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</si>
  <si>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</si>
  <si>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</si>
  <si>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</si>
  <si>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</si>
  <si>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</si>
  <si>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</si>
  <si>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</si>
  <si>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</si>
  <si>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</si>
  <si>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</si>
  <si>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</si>
  <si>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</si>
  <si>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</si>
  <si>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</si>
  <si>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</si>
  <si>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</si>
  <si>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</si>
  <si>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</si>
  <si>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</si>
  <si>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</si>
  <si>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</si>
  <si>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</si>
  <si>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</si>
  <si>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</si>
  <si>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</si>
  <si>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</si>
  <si>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</si>
  <si>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</si>
  <si>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</si>
  <si>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</si>
  <si>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</si>
  <si>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</si>
  <si>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</si>
  <si>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</si>
  <si>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</si>
  <si>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</si>
  <si>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</si>
  <si>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</si>
  <si>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</si>
  <si>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</si>
  <si>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</si>
  <si>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</si>
  <si>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Kalgoorlie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</si>
  <si>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</si>
  <si>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</si>
  <si>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</si>
  <si>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</si>
  <si>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</si>
  <si>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</si>
  <si>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</si>
  <si>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</si>
  <si>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</si>
  <si>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</si>
  <si>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</si>
  <si>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</si>
  <si>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Lowe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</si>
  <si>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</si>
  <si>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</si>
  <si>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</si>
  <si>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</si>
  <si>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</si>
  <si>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</si>
  <si>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</si>
  <si>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</si>
  <si>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</si>
  <si>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</si>
  <si>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</si>
  <si>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</si>
  <si>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</si>
  <si>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</si>
  <si>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</si>
  <si>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</si>
  <si>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</si>
  <si>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</si>
  <si>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</si>
  <si>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</si>
  <si>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</si>
  <si>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</si>
  <si>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</si>
  <si>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</si>
  <si>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</si>
  <si>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</si>
  <si>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</si>
  <si>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</si>
  <si>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</si>
  <si>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</si>
  <si>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</si>
  <si>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</si>
  <si>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</si>
  <si>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</si>
  <si>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Prospect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</si>
  <si>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</si>
  <si>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</si>
  <si>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</si>
  <si>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</si>
  <si>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</si>
  <si>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</si>
  <si>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</si>
  <si>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</si>
  <si>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</si>
  <si>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</si>
  <si>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</si>
  <si>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</si>
  <si>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</si>
  <si>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</si>
  <si>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</si>
  <si>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</si>
  <si>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</si>
  <si>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</si>
  <si>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</si>
  <si>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</si>
  <si>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</si>
  <si>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</si>
  <si>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</si>
  <si>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</si>
  <si>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</si>
  <si>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</si>
  <si>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IncOTH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</si>
  <si>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</si>
  <si>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</si>
  <si>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</si>
  <si>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</si>
  <si>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</si>
  <si>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</si>
  <si>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</si>
  <si>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</si>
  <si>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</si>
  <si>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ONP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</si>
  <si>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</si>
  <si>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</si>
  <si>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</si>
  <si>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</si>
  <si>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</si>
  <si>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</si>
  <si>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</si>
  <si>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</si>
  <si>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</si>
  <si>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</si>
  <si>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</si>
  <si>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</si>
  <si>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</si>
  <si>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</si>
  <si>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</si>
  <si>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</si>
  <si>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ONP_Pref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</si>
  <si>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</si>
  <si>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</si>
  <si>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</si>
  <si>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</si>
  <si>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</si>
  <si>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</si>
  <si>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</si>
  <si>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</si>
  <si>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</si>
  <si>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NewFormal</t>
  </si>
  <si>
    <t>Flynn</t>
  </si>
  <si>
    <t>FFP</t>
  </si>
  <si>
    <t>Inf %</t>
  </si>
  <si>
    <t>Total formal-under-OPV</t>
  </si>
  <si>
    <t>NSW adjustment</t>
  </si>
  <si>
    <t>NSWFormal</t>
  </si>
  <si>
    <t>Exh v FPV</t>
  </si>
  <si>
    <t>Mod v 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</si>
</sst>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>
      <selection activeCell="B6" sqref="B6"/>
    </sheetView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168</v>
      </c>
      <c r="B1" s="1" t="s">
        <v>169</v>
      </c>
    </row>
    <row r="2" spans="1:2" x14ac:dyDescent="0.55000000000000004">
      <c r="A2" s="1" t="s">
        <v>170</v>
      </c>
      <c r="B2" s="1">
        <v>0.30099999999999999</v>
      </c>
    </row>
    <row r="3" spans="1:2" x14ac:dyDescent="0.55000000000000004">
      <c r="A3" s="1" t="s">
        <v>171</v>
      </c>
      <c r="B3" s="1">
        <v>9.9000000000000005E-2</v>
      </c>
    </row>
    <row r="4" spans="1:2" x14ac:dyDescent="0.55000000000000004">
      <c r="A4" s="1" t="s">
        <v>186</v>
      </c>
      <c r="B4" s="1">
        <v>4.4999999999999998E-2</v>
      </c>
    </row>
    <row r="5" spans="1:2" x14ac:dyDescent="0.55000000000000004">
      <c r="A5" s="1" t="s">
        <v>207</v>
      </c>
      <c r="B5" s="1">
        <f>SUM(B2:B4)</f>
        <v>0.44500000000000001</v>
      </c>
    </row>
    <row r="6" spans="1:2" x14ac:dyDescent="0.55000000000000004">
      <c r="A6" s="1" t="s">
        <v>208</v>
      </c>
      <c r="B6" s="1">
        <f>ROUND(3.25/4.95,3)</f>
        <v>0.65700000000000003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X153"/>
  <sheetViews>
    <sheetView tabSelected="1" workbookViewId="0">
      <pane xSplit="1" topLeftCell="B1" activePane="topRight" state="frozen"/>
      <selection pane="topRight" activeCell="B2" sqref="B2:B151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3"/>
    <col min="3" max="3" width="8.8203125" style="4"/>
    <col min="4" max="9" width="8.8203125" style="5"/>
    <col min="10" max="10" width="8.8203125" style="3"/>
    <col min="11" max="11" width="8.8203125" style="4"/>
    <col min="12" max="12" width="8.8203125" style="3"/>
    <col min="13" max="13" width="8.8203125" style="4"/>
    <col min="14" max="14" width="8.8203125" style="5"/>
    <col min="15" max="15" width="8.8203125" style="3"/>
    <col min="16" max="16" width="8.8203125" style="5"/>
    <col min="17" max="17" width="8.8203125" style="4"/>
    <col min="18" max="20" width="8.8203125" style="5"/>
    <col min="21" max="21" width="8.8203125" style="3"/>
    <col min="22" max="22" width="10.703125" style="6" customWidth="1"/>
    <col min="23" max="23" width="13.17578125" style="4" customWidth="1"/>
    <col min="24" max="24" width="13.17578125" style="3" customWidth="1"/>
    <col min="25" max="25" width="8.8203125" style="4"/>
    <col min="26" max="26" width="8.8203125" style="3"/>
    <col min="27" max="27" width="8.8203125" style="4"/>
    <col min="28" max="29" width="8.8203125" style="5"/>
    <col min="30" max="30" width="8.8203125" style="3"/>
    <col min="31" max="31" width="8.8203125" style="4"/>
    <col min="32" max="32" width="8.8203125" style="5"/>
    <col min="33" max="33" width="8.8203125" style="3"/>
    <col min="34" max="34" width="13.17578125" style="4" customWidth="1"/>
    <col min="35" max="35" width="13.17578125" style="3" customWidth="1"/>
    <col min="36" max="36" width="8.8203125" style="4"/>
    <col min="37" max="37" width="8.8203125" style="3"/>
    <col min="38" max="38" width="8.8203125" style="4"/>
    <col min="39" max="39" width="8.8203125" style="3"/>
    <col min="40" max="41" width="8.8203125" style="1"/>
    <col min="42" max="42" width="8.8203125" style="3"/>
    <col min="43" max="44" width="8.8203125" style="1"/>
    <col min="45" max="45" width="8.8203125" style="3"/>
    <col min="46" max="47" width="8.8203125" style="1"/>
    <col min="48" max="48" width="8.8203125" style="3"/>
    <col min="49" max="49" width="8.8203125" style="1"/>
    <col min="50" max="50" width="8.8203125" style="3"/>
    <col min="51" max="16384" width="8.8203125" style="1"/>
  </cols>
  <sheetData>
    <row r="1" spans="1:50" s="7" customFormat="1" x14ac:dyDescent="0.55000000000000004">
      <c r="A1" s="7" t="s">
        <v>0</v>
      </c>
      <c r="B1" s="8" t="s">
        <v>1</v>
      </c>
      <c r="C1" s="9" t="s">
        <v>2</v>
      </c>
      <c r="D1" s="7" t="s">
        <v>164</v>
      </c>
      <c r="E1" s="7" t="s">
        <v>165</v>
      </c>
      <c r="F1" s="7" t="s">
        <v>205</v>
      </c>
      <c r="G1" s="7" t="s">
        <v>176</v>
      </c>
      <c r="H1" s="7" t="s">
        <v>3</v>
      </c>
      <c r="I1" s="7" t="s">
        <v>4</v>
      </c>
      <c r="J1" s="8" t="s">
        <v>166</v>
      </c>
      <c r="K1" s="9" t="s">
        <v>5</v>
      </c>
      <c r="L1" s="8" t="s">
        <v>2</v>
      </c>
      <c r="M1" s="9" t="s">
        <v>163</v>
      </c>
      <c r="N1" s="7" t="s">
        <v>167</v>
      </c>
      <c r="O1" s="8" t="s">
        <v>172</v>
      </c>
      <c r="P1" s="7" t="s">
        <v>206</v>
      </c>
      <c r="Q1" s="9" t="s">
        <v>2</v>
      </c>
      <c r="R1" s="7" t="s">
        <v>173</v>
      </c>
      <c r="S1" s="7" t="s">
        <v>176</v>
      </c>
      <c r="T1" s="7" t="s">
        <v>3</v>
      </c>
      <c r="U1" s="8" t="s">
        <v>4</v>
      </c>
      <c r="V1" s="10" t="s">
        <v>179</v>
      </c>
      <c r="W1" s="9" t="s">
        <v>181</v>
      </c>
      <c r="X1" s="8" t="s">
        <v>182</v>
      </c>
      <c r="Y1" s="9" t="s">
        <v>178</v>
      </c>
      <c r="Z1" s="8" t="s">
        <v>183</v>
      </c>
      <c r="AA1" s="9" t="s">
        <v>180</v>
      </c>
      <c r="AB1" s="7" t="s">
        <v>184</v>
      </c>
      <c r="AC1" s="7" t="s">
        <v>185</v>
      </c>
      <c r="AD1" s="11" t="s">
        <v>188</v>
      </c>
      <c r="AE1" s="9" t="s">
        <v>193</v>
      </c>
      <c r="AF1" s="7" t="s">
        <v>194</v>
      </c>
      <c r="AG1" s="8" t="s">
        <v>195</v>
      </c>
      <c r="AH1" s="9" t="s">
        <v>189</v>
      </c>
      <c r="AI1" s="8" t="s">
        <v>190</v>
      </c>
      <c r="AJ1" s="9" t="s">
        <v>196</v>
      </c>
      <c r="AK1" s="8" t="s">
        <v>197</v>
      </c>
      <c r="AL1" s="9" t="s">
        <v>191</v>
      </c>
      <c r="AM1" s="8" t="s">
        <v>192</v>
      </c>
      <c r="AN1" s="7" t="s">
        <v>200</v>
      </c>
      <c r="AO1" s="7" t="s">
        <v>199</v>
      </c>
      <c r="AP1" s="8" t="s">
        <v>198</v>
      </c>
      <c r="AQ1" s="7" t="s">
        <v>187</v>
      </c>
      <c r="AR1" s="7" t="s">
        <v>201</v>
      </c>
      <c r="AS1" s="8" t="s">
        <v>202</v>
      </c>
      <c r="AT1" s="7" t="s">
        <v>210</v>
      </c>
      <c r="AU1" s="7" t="s">
        <v>211</v>
      </c>
      <c r="AV1" s="8" t="s">
        <v>202</v>
      </c>
      <c r="AW1" s="7" t="s">
        <v>209</v>
      </c>
      <c r="AX1" s="8" t="s">
        <v>203</v>
      </c>
    </row>
    <row r="2" spans="1:50" x14ac:dyDescent="0.55000000000000004">
      <c r="A2" s="2" t="s">
        <v>6</v>
      </c>
      <c r="B2" s="3" t="s">
        <v>7</v>
      </c>
      <c r="C2" s="4">
        <v>48.26</v>
      </c>
      <c r="D2" s="5">
        <v>38.43</v>
      </c>
      <c r="E2" s="5">
        <v>0</v>
      </c>
      <c r="F2" s="5">
        <v>2.0299999999999998</v>
      </c>
      <c r="G2" s="5">
        <v>0</v>
      </c>
      <c r="H2" s="5">
        <v>9.75</v>
      </c>
      <c r="I2" s="5">
        <v>1.53</v>
      </c>
      <c r="J2" s="3">
        <f>ROUND(F2+I2-G2,2)</f>
        <v>3.56</v>
      </c>
      <c r="K2" s="4">
        <v>41.47</v>
      </c>
      <c r="L2" s="3">
        <v>58.53</v>
      </c>
      <c r="M2" s="4">
        <v>91465</v>
      </c>
      <c r="N2" s="5">
        <v>2840</v>
      </c>
      <c r="O2" s="3">
        <f>ROUND(M2-N2,0)</f>
        <v>88625</v>
      </c>
      <c r="P2" s="5">
        <f>N2/M2</f>
        <v>3.1050128464439948E-2</v>
      </c>
      <c r="Q2" s="4">
        <f>ROUND($C2+MIN($D2:$E2)*(1-SUMIFS(PrefFlows!$C:$C,PrefFlows!$A:$A,INDEX($D$1:$E$1,MATCH(MIN($D2:$E2),$D2:$E2,0)),PrefFlows!$B:$B,$B2)),2)</f>
        <v>48.26</v>
      </c>
      <c r="R2" s="5">
        <f>ROUND(MAX($D2:$E2)+MIN($D2:$E2)*SUMIFS(PrefFlows!$C:$C,PrefFlows!$A:$A,INDEX($D$1:$E$1,MATCH(MIN($D2:$E2),$D2:$E2,0)),PrefFlows!$B:$B,$B2),2)</f>
        <v>38.43</v>
      </c>
      <c r="S2" s="5">
        <f>ROUND(G2,2)</f>
        <v>0</v>
      </c>
      <c r="T2" s="5">
        <f>ROUND(H2,2)</f>
        <v>9.75</v>
      </c>
      <c r="U2" s="3">
        <f>ROUND(J2,2)</f>
        <v>3.56</v>
      </c>
      <c r="V2" s="6">
        <f>ROUND(R2-Q2,2)</f>
        <v>-9.83</v>
      </c>
      <c r="W2" s="4">
        <f>ROUND($S2*SUMIFS(PrefFlows!$C:$C,PrefFlows!$A:$A,$S$1,PrefFlows!$B:$B,$B2)+$T2*SUMIFS(PrefFlows!$C:$C,PrefFlows!$A:$A,$T$1,PrefFlows!$B:$B,$B2)+$U2*SUMIFS(PrefFlows!$C:$C,PrefFlows!$A:$A,$U$1,PrefFlows!$B:$B,$B2),2)</f>
        <v>4.0599999999999996</v>
      </c>
      <c r="X2" s="3">
        <f>ROUND($S2*(1-SUMIFS(PrefFlows!$C:$C,PrefFlows!$A:$A,$S$1,PrefFlows!$B:$B,$B2))+$T2*(1-SUMIFS(PrefFlows!$C:$C,PrefFlows!$A:$A,$T$1,PrefFlows!$B:$B,$B2))+$U2*(1-SUMIFS(PrefFlows!$C:$C,PrefFlows!$A:$A,$U$1,PrefFlows!$B:$B,$B2)),2)</f>
        <v>9.25</v>
      </c>
      <c r="Y2" s="4">
        <f>ROUND(K2-R2,2)</f>
        <v>3.04</v>
      </c>
      <c r="Z2" s="3">
        <f>ROUND(L2-Q2,2)</f>
        <v>10.27</v>
      </c>
      <c r="AA2" s="4">
        <f>ROUND(W2/SUM(W2:X2),4)</f>
        <v>0.30499999999999999</v>
      </c>
      <c r="AB2" s="5">
        <f>ROUND(Y2/SUM(Y2:Z2),4)</f>
        <v>0.22839999999999999</v>
      </c>
      <c r="AC2" s="5">
        <f>ROUND(AB2-AA2,4)</f>
        <v>-7.6600000000000001E-2</v>
      </c>
      <c r="AD2" s="3">
        <v>-6.5761973427086201E-2</v>
      </c>
      <c r="AE2" s="4">
        <f>ROUND(S2*(1-(Exhaust!$B$2+AD2)),2)</f>
        <v>0</v>
      </c>
      <c r="AF2" s="5">
        <f>ROUND(T2*(1-(Exhaust!$B$3+$AD2)),2)</f>
        <v>6.49</v>
      </c>
      <c r="AG2" s="3">
        <f>ROUND(U2*(1-(Exhaust!$B$4+$AD2)),2)</f>
        <v>2.0099999999999998</v>
      </c>
      <c r="AH2" s="4">
        <f>ROUND($AE2*(SUMIFS(PrefFlows!$C:$C,PrefFlows!$A:$A,$S$1,PrefFlows!$B:$B,$B2)+$AC2)+$AF2*(SUMIFS(PrefFlows!$C:$C,PrefFlows!$A:$A,$T$1,PrefFlows!$B:$B,$B2)+$AC2)+$AG2*(SUMIFS(PrefFlows!$C:$C,PrefFlows!$A:$A,$U$1,PrefFlows!$B:$B,$B2)+$AC2),2)</f>
        <v>1.87</v>
      </c>
      <c r="AI2" s="3">
        <f>ROUND($AE2*(1-(SUMIFS(PrefFlows!$C:$C,PrefFlows!$A:$A,$S$1,PrefFlows!$B:$B,$B2)+$AC2))+$AF2*(1-(SUMIFS(PrefFlows!$C:$C,PrefFlows!$A:$A,$T$1,PrefFlows!$B:$B,$B2)+$AC2))+$AG2*(1-(SUMIFS(PrefFlows!$C:$C,PrefFlows!$A:$A,$U$1,PrefFlows!$B:$B,$B2)+$AC2)),2)</f>
        <v>6.63</v>
      </c>
      <c r="AJ2" s="4">
        <f>ROUND(R2+AH2,2)</f>
        <v>40.299999999999997</v>
      </c>
      <c r="AK2" s="3">
        <f>ROUND(Q2+AI2,2)</f>
        <v>54.89</v>
      </c>
      <c r="AL2" s="4">
        <f>ROUND(AJ2/SUM($AJ2:$AK2)*100,2)</f>
        <v>42.34</v>
      </c>
      <c r="AM2" s="3">
        <f>ROUND(AK2/SUM($AJ2:$AK2)*100,2)</f>
        <v>57.66</v>
      </c>
      <c r="AN2" s="1">
        <f t="shared" ref="AN2:AN33" si="0">ROUND(K2-50,2)</f>
        <v>-8.5299999999999994</v>
      </c>
      <c r="AO2" s="1">
        <f t="shared" ref="AO2:AO33" si="1">ROUND((R2+Y2*0.52)/((R2+Y2*0.52)+(Q2+Z2*0.52))*100-50,2)</f>
        <v>-7.26</v>
      </c>
      <c r="AP2" s="3">
        <f t="shared" ref="AP2:AP33" si="2">ROUND(AL2-50,2)</f>
        <v>-7.66</v>
      </c>
      <c r="AQ2" s="1" t="b">
        <f>$AN2/AO2&lt;0</f>
        <v>0</v>
      </c>
      <c r="AR2" s="1" t="b">
        <f>$AN2/AP2&lt;0</f>
        <v>0</v>
      </c>
      <c r="AS2" s="3" t="b">
        <f>AO2/AP2&lt;0</f>
        <v>0</v>
      </c>
      <c r="AT2" s="1">
        <f>(AO2-$AN2)</f>
        <v>1.2699999999999996</v>
      </c>
      <c r="AU2" s="1">
        <f>(AP2-$AN2)</f>
        <v>0.86999999999999922</v>
      </c>
      <c r="AV2" s="3">
        <f>ABS(AP2-$AO2)</f>
        <v>0.40000000000000036</v>
      </c>
      <c r="AW2" s="1">
        <f>ROUND(IF($B2="NSW",N2*Meta!$B$6,N2),1)</f>
        <v>2840</v>
      </c>
      <c r="AX2" s="3">
        <f t="shared" ref="AX2:AX33" si="3">ROUND((M2-AW2*($AW$153/$AW$152))*SUM($AJ2:$AK2)/100,1)</f>
        <v>85316.800000000003</v>
      </c>
    </row>
    <row r="3" spans="1:50" x14ac:dyDescent="0.55000000000000004">
      <c r="A3" s="2" t="s">
        <v>8</v>
      </c>
      <c r="B3" s="3" t="s">
        <v>9</v>
      </c>
      <c r="C3" s="4">
        <v>38.840000000000003</v>
      </c>
      <c r="D3" s="5">
        <v>50.71</v>
      </c>
      <c r="E3" s="5">
        <v>0</v>
      </c>
      <c r="F3" s="5">
        <v>3.47</v>
      </c>
      <c r="G3" s="5">
        <v>0</v>
      </c>
      <c r="H3" s="5">
        <v>5.23</v>
      </c>
      <c r="I3" s="5">
        <v>1.75</v>
      </c>
      <c r="J3" s="3">
        <f t="shared" ref="J3:J66" si="4">ROUND(F3+I3-G3,2)</f>
        <v>5.22</v>
      </c>
      <c r="K3" s="4">
        <v>55.05</v>
      </c>
      <c r="L3" s="3">
        <v>44.95</v>
      </c>
      <c r="M3" s="4">
        <v>88413</v>
      </c>
      <c r="N3" s="5">
        <v>2601</v>
      </c>
      <c r="O3" s="3">
        <f t="shared" ref="O3:O66" si="5">ROUND(M3-N3,0)</f>
        <v>85812</v>
      </c>
      <c r="P3" s="5">
        <f t="shared" ref="P3:P66" si="6">N3/M3</f>
        <v>2.9418750636218655E-2</v>
      </c>
      <c r="Q3" s="4">
        <f>ROUND($C3+MIN($D3:$E3)*(1-SUMIFS(PrefFlows!$C:$C,PrefFlows!$A:$A,INDEX($D$1:$E$1,MATCH(MIN($D3:$E3),$D3:$E3,0)),PrefFlows!$B:$B,$B3)),2)</f>
        <v>38.840000000000003</v>
      </c>
      <c r="R3" s="5">
        <f>ROUND(MAX($D3:$E3)+MIN($D3:$E3)*SUMIFS(PrefFlows!$C:$C,PrefFlows!$A:$A,INDEX($D$1:$E$1,MATCH(MIN($D3:$E3),$D3:$E3,0)),PrefFlows!$B:$B,$B3),2)</f>
        <v>50.71</v>
      </c>
      <c r="S3" s="5">
        <f t="shared" ref="S3:S66" si="7">ROUND(G3,2)</f>
        <v>0</v>
      </c>
      <c r="T3" s="5">
        <f t="shared" ref="T3:T66" si="8">ROUND(H3,2)</f>
        <v>5.23</v>
      </c>
      <c r="U3" s="3">
        <f t="shared" ref="U3:U66" si="9">ROUND(J3,2)</f>
        <v>5.22</v>
      </c>
      <c r="V3" s="6">
        <f t="shared" ref="V3:V66" si="10">ROUND(R3-Q3,2)</f>
        <v>11.87</v>
      </c>
      <c r="W3" s="4">
        <f>ROUND($S3*SUMIFS(PrefFlows!$C:$C,PrefFlows!$A:$A,$S$1,PrefFlows!$B:$B,$B3)+$T3*SUMIFS(PrefFlows!$C:$C,PrefFlows!$A:$A,$T$1,PrefFlows!$B:$B,$B3)+$U3*SUMIFS(PrefFlows!$C:$C,PrefFlows!$A:$A,$U$1,PrefFlows!$B:$B,$B3),2)</f>
        <v>3.67</v>
      </c>
      <c r="X3" s="3">
        <f>ROUND($S3*(1-SUMIFS(PrefFlows!$C:$C,PrefFlows!$A:$A,$S$1,PrefFlows!$B:$B,$B3))+$T3*(1-SUMIFS(PrefFlows!$C:$C,PrefFlows!$A:$A,$T$1,PrefFlows!$B:$B,$B3))+$U3*(1-SUMIFS(PrefFlows!$C:$C,PrefFlows!$A:$A,$U$1,PrefFlows!$B:$B,$B3)),2)</f>
        <v>6.78</v>
      </c>
      <c r="Y3" s="4">
        <f t="shared" ref="Y3:Y66" si="11">ROUND(K3-R3,2)</f>
        <v>4.34</v>
      </c>
      <c r="Z3" s="3">
        <f t="shared" ref="Z3:Z66" si="12">ROUND(L3-Q3,2)</f>
        <v>6.11</v>
      </c>
      <c r="AA3" s="4">
        <f t="shared" ref="AA3:AA66" si="13">ROUND(W3/SUM(W3:X3),4)</f>
        <v>0.35120000000000001</v>
      </c>
      <c r="AB3" s="5">
        <f t="shared" ref="AB3:AB66" si="14">ROUND(Y3/SUM(Y3:Z3),4)</f>
        <v>0.4153</v>
      </c>
      <c r="AC3" s="5">
        <f t="shared" ref="AC3:AC66" si="15">ROUND(AB3-AA3,4)</f>
        <v>6.4100000000000004E-2</v>
      </c>
      <c r="AD3" s="3">
        <v>2.26662820720125E-2</v>
      </c>
      <c r="AE3" s="4">
        <f>ROUND(S3*(1-(Exhaust!$B$2+AD3)),2)</f>
        <v>0</v>
      </c>
      <c r="AF3" s="5">
        <f>ROUND(T3*(1-(Exhaust!$B$3+$AD3)),2)</f>
        <v>3.02</v>
      </c>
      <c r="AG3" s="3">
        <f>ROUND(U3*(1-(Exhaust!$B$4+$AD3)),2)</f>
        <v>2.4900000000000002</v>
      </c>
      <c r="AH3" s="4">
        <f>ROUND($AE3*(SUMIFS(PrefFlows!$C:$C,PrefFlows!$A:$A,$S$1,PrefFlows!$B:$B,$B3)+$AC3)+$AF3*(SUMIFS(PrefFlows!$C:$C,PrefFlows!$A:$A,$T$1,PrefFlows!$B:$B,$B3)+$AC3)+$AG3*(SUMIFS(PrefFlows!$C:$C,PrefFlows!$A:$A,$U$1,PrefFlows!$B:$B,$B3)+$AC3),2)</f>
        <v>2.2000000000000002</v>
      </c>
      <c r="AI3" s="3">
        <f>ROUND($AE3*(1-(SUMIFS(PrefFlows!$C:$C,PrefFlows!$A:$A,$S$1,PrefFlows!$B:$B,$B3)+$AC3))+$AF3*(1-(SUMIFS(PrefFlows!$C:$C,PrefFlows!$A:$A,$T$1,PrefFlows!$B:$B,$B3)+$AC3))+$AG3*(1-(SUMIFS(PrefFlows!$C:$C,PrefFlows!$A:$A,$U$1,PrefFlows!$B:$B,$B3)+$AC3)),2)</f>
        <v>3.31</v>
      </c>
      <c r="AJ3" s="4">
        <f t="shared" ref="AJ3:AJ66" si="16">ROUND(R3+AH3,2)</f>
        <v>52.91</v>
      </c>
      <c r="AK3" s="3">
        <f t="shared" ref="AK3:AK66" si="17">ROUND(Q3+AI3,2)</f>
        <v>42.15</v>
      </c>
      <c r="AL3" s="4">
        <f t="shared" ref="AL3:AM66" si="18">ROUND(AJ3/SUM($AJ3:$AK3)*100,2)</f>
        <v>55.66</v>
      </c>
      <c r="AM3" s="3">
        <f t="shared" si="18"/>
        <v>44.34</v>
      </c>
      <c r="AN3" s="1">
        <f t="shared" si="0"/>
        <v>5.05</v>
      </c>
      <c r="AO3" s="1">
        <f t="shared" si="1"/>
        <v>5.76</v>
      </c>
      <c r="AP3" s="3">
        <f t="shared" si="2"/>
        <v>5.66</v>
      </c>
      <c r="AQ3" s="1" t="b">
        <f t="shared" ref="AQ3:AR66" si="19">$AN3/AO3&lt;0</f>
        <v>0</v>
      </c>
      <c r="AR3" s="1" t="b">
        <f t="shared" si="19"/>
        <v>0</v>
      </c>
      <c r="AS3" s="3" t="b">
        <f t="shared" ref="AS3:AS66" si="20">AO3/AP3&lt;0</f>
        <v>0</v>
      </c>
      <c r="AT3" s="1">
        <f t="shared" ref="AT3:AU66" si="21">(AO3-$AN3)</f>
        <v>0.71</v>
      </c>
      <c r="AU3" s="1">
        <f t="shared" si="21"/>
        <v>0.61000000000000032</v>
      </c>
      <c r="AV3" s="3">
        <f t="shared" ref="AV3:AV66" si="22">ABS(AP3-$AO3)</f>
        <v>9.9999999999999645E-2</v>
      </c>
      <c r="AW3" s="1">
        <f>ROUND(IF($B3="NSW",N3*Meta!$B$6,N3),1)</f>
        <v>2601</v>
      </c>
      <c r="AX3" s="3">
        <f t="shared" si="3"/>
        <v>82446</v>
      </c>
    </row>
    <row r="4" spans="1:50" x14ac:dyDescent="0.55000000000000004">
      <c r="A4" s="2" t="s">
        <v>10</v>
      </c>
      <c r="B4" s="3" t="s">
        <v>9</v>
      </c>
      <c r="C4" s="4">
        <v>50.33</v>
      </c>
      <c r="D4" s="5">
        <v>38.04</v>
      </c>
      <c r="E4" s="5">
        <v>0</v>
      </c>
      <c r="F4" s="5">
        <v>3.65</v>
      </c>
      <c r="G4" s="5">
        <v>0</v>
      </c>
      <c r="H4" s="5">
        <v>7.98</v>
      </c>
      <c r="I4" s="5">
        <v>0</v>
      </c>
      <c r="J4" s="3">
        <f t="shared" si="4"/>
        <v>3.65</v>
      </c>
      <c r="K4" s="4">
        <v>41.85</v>
      </c>
      <c r="L4" s="3">
        <v>58.15</v>
      </c>
      <c r="M4" s="4">
        <v>89978</v>
      </c>
      <c r="N4" s="5">
        <v>2170</v>
      </c>
      <c r="O4" s="3">
        <f t="shared" si="5"/>
        <v>87808</v>
      </c>
      <c r="P4" s="5">
        <f t="shared" si="6"/>
        <v>2.4117006379337173E-2</v>
      </c>
      <c r="Q4" s="4">
        <f>ROUND($C4+MIN($D4:$E4)*(1-SUMIFS(PrefFlows!$C:$C,PrefFlows!$A:$A,INDEX($D$1:$E$1,MATCH(MIN($D4:$E4),$D4:$E4,0)),PrefFlows!$B:$B,$B4)),2)</f>
        <v>50.33</v>
      </c>
      <c r="R4" s="5">
        <f>ROUND(MAX($D4:$E4)+MIN($D4:$E4)*SUMIFS(PrefFlows!$C:$C,PrefFlows!$A:$A,INDEX($D$1:$E$1,MATCH(MIN($D4:$E4),$D4:$E4,0)),PrefFlows!$B:$B,$B4),2)</f>
        <v>38.04</v>
      </c>
      <c r="S4" s="5">
        <f t="shared" si="7"/>
        <v>0</v>
      </c>
      <c r="T4" s="5">
        <f t="shared" si="8"/>
        <v>7.98</v>
      </c>
      <c r="U4" s="3">
        <f t="shared" si="9"/>
        <v>3.65</v>
      </c>
      <c r="V4" s="6">
        <f t="shared" si="10"/>
        <v>-12.29</v>
      </c>
      <c r="W4" s="4">
        <f>ROUND($S4*SUMIFS(PrefFlows!$C:$C,PrefFlows!$A:$A,$S$1,PrefFlows!$B:$B,$B4)+$T4*SUMIFS(PrefFlows!$C:$C,PrefFlows!$A:$A,$T$1,PrefFlows!$B:$B,$B4)+$U4*SUMIFS(PrefFlows!$C:$C,PrefFlows!$A:$A,$U$1,PrefFlows!$B:$B,$B4),2)</f>
        <v>3.31</v>
      </c>
      <c r="X4" s="3">
        <f>ROUND($S4*(1-SUMIFS(PrefFlows!$C:$C,PrefFlows!$A:$A,$S$1,PrefFlows!$B:$B,$B4))+$T4*(1-SUMIFS(PrefFlows!$C:$C,PrefFlows!$A:$A,$T$1,PrefFlows!$B:$B,$B4))+$U4*(1-SUMIFS(PrefFlows!$C:$C,PrefFlows!$A:$A,$U$1,PrefFlows!$B:$B,$B4)),2)</f>
        <v>8.32</v>
      </c>
      <c r="Y4" s="4">
        <f t="shared" si="11"/>
        <v>3.81</v>
      </c>
      <c r="Z4" s="3">
        <f t="shared" si="12"/>
        <v>7.82</v>
      </c>
      <c r="AA4" s="4">
        <f t="shared" si="13"/>
        <v>0.28460000000000002</v>
      </c>
      <c r="AB4" s="5">
        <f t="shared" si="14"/>
        <v>0.3276</v>
      </c>
      <c r="AC4" s="5">
        <f t="shared" si="15"/>
        <v>4.2999999999999997E-2</v>
      </c>
      <c r="AD4" s="3">
        <v>-7.3754883791427805E-2</v>
      </c>
      <c r="AE4" s="4">
        <f>ROUND(S4*(1-(Exhaust!$B$2+AD4)),2)</f>
        <v>0</v>
      </c>
      <c r="AF4" s="5">
        <f>ROUND(T4*(1-(Exhaust!$B$3+$AD4)),2)</f>
        <v>5.38</v>
      </c>
      <c r="AG4" s="3">
        <f>ROUND(U4*(1-(Exhaust!$B$4+$AD4)),2)</f>
        <v>2.09</v>
      </c>
      <c r="AH4" s="4">
        <f>ROUND($AE4*(SUMIFS(PrefFlows!$C:$C,PrefFlows!$A:$A,$S$1,PrefFlows!$B:$B,$B4)+$AC4)+$AF4*(SUMIFS(PrefFlows!$C:$C,PrefFlows!$A:$A,$T$1,PrefFlows!$B:$B,$B4)+$AC4)+$AG4*(SUMIFS(PrefFlows!$C:$C,PrefFlows!$A:$A,$U$1,PrefFlows!$B:$B,$B4)+$AC4),2)</f>
        <v>2.35</v>
      </c>
      <c r="AI4" s="3">
        <f>ROUND($AE4*(1-(SUMIFS(PrefFlows!$C:$C,PrefFlows!$A:$A,$S$1,PrefFlows!$B:$B,$B4)+$AC4))+$AF4*(1-(SUMIFS(PrefFlows!$C:$C,PrefFlows!$A:$A,$T$1,PrefFlows!$B:$B,$B4)+$AC4))+$AG4*(1-(SUMIFS(PrefFlows!$C:$C,PrefFlows!$A:$A,$U$1,PrefFlows!$B:$B,$B4)+$AC4)),2)</f>
        <v>5.12</v>
      </c>
      <c r="AJ4" s="4">
        <f t="shared" si="16"/>
        <v>40.39</v>
      </c>
      <c r="AK4" s="3">
        <f t="shared" si="17"/>
        <v>55.45</v>
      </c>
      <c r="AL4" s="4">
        <f t="shared" si="18"/>
        <v>42.14</v>
      </c>
      <c r="AM4" s="3">
        <f t="shared" si="18"/>
        <v>57.86</v>
      </c>
      <c r="AN4" s="1">
        <f t="shared" si="0"/>
        <v>-8.15</v>
      </c>
      <c r="AO4" s="1">
        <f t="shared" si="1"/>
        <v>-7.61</v>
      </c>
      <c r="AP4" s="3">
        <f t="shared" si="2"/>
        <v>-7.86</v>
      </c>
      <c r="AQ4" s="1" t="b">
        <f t="shared" si="19"/>
        <v>0</v>
      </c>
      <c r="AR4" s="1" t="b">
        <f t="shared" si="19"/>
        <v>0</v>
      </c>
      <c r="AS4" s="3" t="b">
        <f t="shared" si="20"/>
        <v>0</v>
      </c>
      <c r="AT4" s="1">
        <f t="shared" si="21"/>
        <v>0.54</v>
      </c>
      <c r="AU4" s="1">
        <f t="shared" si="21"/>
        <v>0.29000000000000004</v>
      </c>
      <c r="AV4" s="3">
        <f t="shared" si="22"/>
        <v>0.25</v>
      </c>
      <c r="AW4" s="1">
        <f>ROUND(IF($B4="NSW",N4*Meta!$B$6,N4),1)</f>
        <v>2170</v>
      </c>
      <c r="AX4" s="3">
        <f t="shared" si="3"/>
        <v>84889.600000000006</v>
      </c>
    </row>
    <row r="5" spans="1:50" x14ac:dyDescent="0.55000000000000004">
      <c r="A5" s="2" t="s">
        <v>11</v>
      </c>
      <c r="B5" s="3" t="s">
        <v>12</v>
      </c>
      <c r="C5" s="4">
        <v>54.62</v>
      </c>
      <c r="D5" s="5">
        <v>33.61</v>
      </c>
      <c r="E5" s="5">
        <v>0</v>
      </c>
      <c r="F5" s="5">
        <v>0</v>
      </c>
      <c r="G5" s="5">
        <v>0</v>
      </c>
      <c r="H5" s="5">
        <v>5.59</v>
      </c>
      <c r="I5" s="5">
        <v>6.18</v>
      </c>
      <c r="J5" s="3">
        <f t="shared" si="4"/>
        <v>6.18</v>
      </c>
      <c r="K5" s="4">
        <v>38.92</v>
      </c>
      <c r="L5" s="3">
        <v>61.08</v>
      </c>
      <c r="M5" s="4">
        <v>88109</v>
      </c>
      <c r="N5" s="5">
        <v>5608</v>
      </c>
      <c r="O5" s="3">
        <f t="shared" si="5"/>
        <v>82501</v>
      </c>
      <c r="P5" s="5">
        <f t="shared" si="6"/>
        <v>6.364843546062264E-2</v>
      </c>
      <c r="Q5" s="4">
        <f>ROUND($C5+MIN($D5:$E5)*(1-SUMIFS(PrefFlows!$C:$C,PrefFlows!$A:$A,INDEX($D$1:$E$1,MATCH(MIN($D5:$E5),$D5:$E5,0)),PrefFlows!$B:$B,$B5)),2)</f>
        <v>54.62</v>
      </c>
      <c r="R5" s="5">
        <f>ROUND(MAX($D5:$E5)+MIN($D5:$E5)*SUMIFS(PrefFlows!$C:$C,PrefFlows!$A:$A,INDEX($D$1:$E$1,MATCH(MIN($D5:$E5),$D5:$E5,0)),PrefFlows!$B:$B,$B5),2)</f>
        <v>33.61</v>
      </c>
      <c r="S5" s="5">
        <f t="shared" si="7"/>
        <v>0</v>
      </c>
      <c r="T5" s="5">
        <f t="shared" si="8"/>
        <v>5.59</v>
      </c>
      <c r="U5" s="3">
        <f t="shared" si="9"/>
        <v>6.18</v>
      </c>
      <c r="V5" s="6">
        <f t="shared" si="10"/>
        <v>-21.01</v>
      </c>
      <c r="W5" s="4">
        <f>ROUND($S5*SUMIFS(PrefFlows!$C:$C,PrefFlows!$A:$A,$S$1,PrefFlows!$B:$B,$B5)+$T5*SUMIFS(PrefFlows!$C:$C,PrefFlows!$A:$A,$T$1,PrefFlows!$B:$B,$B5)+$U5*SUMIFS(PrefFlows!$C:$C,PrefFlows!$A:$A,$U$1,PrefFlows!$B:$B,$B5),2)</f>
        <v>4.34</v>
      </c>
      <c r="X5" s="3">
        <f>ROUND($S5*(1-SUMIFS(PrefFlows!$C:$C,PrefFlows!$A:$A,$S$1,PrefFlows!$B:$B,$B5))+$T5*(1-SUMIFS(PrefFlows!$C:$C,PrefFlows!$A:$A,$T$1,PrefFlows!$B:$B,$B5))+$U5*(1-SUMIFS(PrefFlows!$C:$C,PrefFlows!$A:$A,$U$1,PrefFlows!$B:$B,$B5)),2)</f>
        <v>7.43</v>
      </c>
      <c r="Y5" s="4">
        <f t="shared" si="11"/>
        <v>5.31</v>
      </c>
      <c r="Z5" s="3">
        <f t="shared" si="12"/>
        <v>6.46</v>
      </c>
      <c r="AA5" s="4">
        <f t="shared" si="13"/>
        <v>0.36870000000000003</v>
      </c>
      <c r="AB5" s="5">
        <f t="shared" si="14"/>
        <v>0.4511</v>
      </c>
      <c r="AC5" s="5">
        <f t="shared" si="15"/>
        <v>8.2400000000000001E-2</v>
      </c>
      <c r="AD5" s="3">
        <v>7.55244811004121E-2</v>
      </c>
      <c r="AE5" s="4">
        <f>ROUND(S5*(1-(Exhaust!$B$2+AD5)),2)</f>
        <v>0</v>
      </c>
      <c r="AF5" s="5">
        <f>ROUND(T5*(1-(Exhaust!$B$3+$AD5)),2)</f>
        <v>2.93</v>
      </c>
      <c r="AG5" s="3">
        <f>ROUND(U5*(1-(Exhaust!$B$4+$AD5)),2)</f>
        <v>2.62</v>
      </c>
      <c r="AH5" s="4">
        <f>ROUND($AE5*(SUMIFS(PrefFlows!$C:$C,PrefFlows!$A:$A,$S$1,PrefFlows!$B:$B,$B5)+$AC5)+$AF5*(SUMIFS(PrefFlows!$C:$C,PrefFlows!$A:$A,$T$1,PrefFlows!$B:$B,$B5)+$AC5)+$AG5*(SUMIFS(PrefFlows!$C:$C,PrefFlows!$A:$A,$U$1,PrefFlows!$B:$B,$B5)+$AC5),2)</f>
        <v>2.41</v>
      </c>
      <c r="AI5" s="3">
        <f>ROUND($AE5*(1-(SUMIFS(PrefFlows!$C:$C,PrefFlows!$A:$A,$S$1,PrefFlows!$B:$B,$B5)+$AC5))+$AF5*(1-(SUMIFS(PrefFlows!$C:$C,PrefFlows!$A:$A,$T$1,PrefFlows!$B:$B,$B5)+$AC5))+$AG5*(1-(SUMIFS(PrefFlows!$C:$C,PrefFlows!$A:$A,$U$1,PrefFlows!$B:$B,$B5)+$AC5)),2)</f>
        <v>3.14</v>
      </c>
      <c r="AJ5" s="4">
        <f t="shared" si="16"/>
        <v>36.020000000000003</v>
      </c>
      <c r="AK5" s="3">
        <f t="shared" si="17"/>
        <v>57.76</v>
      </c>
      <c r="AL5" s="4">
        <f t="shared" si="18"/>
        <v>38.409999999999997</v>
      </c>
      <c r="AM5" s="3">
        <f t="shared" si="18"/>
        <v>61.59</v>
      </c>
      <c r="AN5" s="1">
        <f t="shared" si="0"/>
        <v>-11.08</v>
      </c>
      <c r="AO5" s="1">
        <f t="shared" si="1"/>
        <v>-11.45</v>
      </c>
      <c r="AP5" s="3">
        <f t="shared" si="2"/>
        <v>-11.59</v>
      </c>
      <c r="AQ5" s="1" t="b">
        <f t="shared" si="19"/>
        <v>0</v>
      </c>
      <c r="AR5" s="1" t="b">
        <f t="shared" si="19"/>
        <v>0</v>
      </c>
      <c r="AS5" s="3" t="b">
        <f t="shared" si="20"/>
        <v>0</v>
      </c>
      <c r="AT5" s="1">
        <f t="shared" si="21"/>
        <v>-0.36999999999999922</v>
      </c>
      <c r="AU5" s="1">
        <f t="shared" si="21"/>
        <v>-0.50999999999999979</v>
      </c>
      <c r="AV5" s="3">
        <f t="shared" si="22"/>
        <v>0.14000000000000057</v>
      </c>
      <c r="AW5" s="1">
        <f>ROUND(IF($B5="NSW",N5*Meta!$B$6,N5),1)</f>
        <v>3684.5</v>
      </c>
      <c r="AX5" s="3">
        <f t="shared" si="3"/>
        <v>80393.5</v>
      </c>
    </row>
    <row r="6" spans="1:50" x14ac:dyDescent="0.55000000000000004">
      <c r="A6" s="2" t="s">
        <v>13</v>
      </c>
      <c r="B6" s="3" t="s">
        <v>7</v>
      </c>
      <c r="C6" s="4">
        <v>30.07</v>
      </c>
      <c r="D6" s="5">
        <v>46.81</v>
      </c>
      <c r="E6" s="5">
        <v>10.24</v>
      </c>
      <c r="F6" s="5">
        <v>5.72</v>
      </c>
      <c r="G6" s="5">
        <v>0</v>
      </c>
      <c r="H6" s="5">
        <v>5.0599999999999996</v>
      </c>
      <c r="I6" s="5">
        <v>2.1</v>
      </c>
      <c r="J6" s="3">
        <f t="shared" si="4"/>
        <v>7.82</v>
      </c>
      <c r="K6" s="4">
        <v>59.45</v>
      </c>
      <c r="L6" s="3">
        <v>40.549999999999997</v>
      </c>
      <c r="M6" s="4">
        <v>98490</v>
      </c>
      <c r="N6" s="5">
        <v>3793</v>
      </c>
      <c r="O6" s="3">
        <f t="shared" si="5"/>
        <v>94697</v>
      </c>
      <c r="P6" s="5">
        <f t="shared" si="6"/>
        <v>3.8511524012590108E-2</v>
      </c>
      <c r="Q6" s="4">
        <f>ROUND($C6+MIN($D6:$E6)*(1-SUMIFS(PrefFlows!$C:$C,PrefFlows!$A:$A,INDEX($D$1:$E$1,MATCH(MIN($D6:$E6),$D6:$E6,0)),PrefFlows!$B:$B,$B6)),2)</f>
        <v>33.03</v>
      </c>
      <c r="R6" s="5">
        <f>ROUND(MAX($D6:$E6)+MIN($D6:$E6)*SUMIFS(PrefFlows!$C:$C,PrefFlows!$A:$A,INDEX($D$1:$E$1,MATCH(MIN($D6:$E6),$D6:$E6,0)),PrefFlows!$B:$B,$B6),2)</f>
        <v>54.09</v>
      </c>
      <c r="S6" s="5">
        <f t="shared" si="7"/>
        <v>0</v>
      </c>
      <c r="T6" s="5">
        <f t="shared" si="8"/>
        <v>5.0599999999999996</v>
      </c>
      <c r="U6" s="3">
        <f t="shared" si="9"/>
        <v>7.82</v>
      </c>
      <c r="V6" s="6">
        <f t="shared" si="10"/>
        <v>21.06</v>
      </c>
      <c r="W6" s="4">
        <f>ROUND($S6*SUMIFS(PrefFlows!$C:$C,PrefFlows!$A:$A,$S$1,PrefFlows!$B:$B,$B6)+$T6*SUMIFS(PrefFlows!$C:$C,PrefFlows!$A:$A,$T$1,PrefFlows!$B:$B,$B6)+$U6*SUMIFS(PrefFlows!$C:$C,PrefFlows!$A:$A,$U$1,PrefFlows!$B:$B,$B6),2)</f>
        <v>5.21</v>
      </c>
      <c r="X6" s="3">
        <f>ROUND($S6*(1-SUMIFS(PrefFlows!$C:$C,PrefFlows!$A:$A,$S$1,PrefFlows!$B:$B,$B6))+$T6*(1-SUMIFS(PrefFlows!$C:$C,PrefFlows!$A:$A,$T$1,PrefFlows!$B:$B,$B6))+$U6*(1-SUMIFS(PrefFlows!$C:$C,PrefFlows!$A:$A,$U$1,PrefFlows!$B:$B,$B6)),2)</f>
        <v>7.67</v>
      </c>
      <c r="Y6" s="4">
        <f t="shared" si="11"/>
        <v>5.36</v>
      </c>
      <c r="Z6" s="3">
        <f t="shared" si="12"/>
        <v>7.52</v>
      </c>
      <c r="AA6" s="4">
        <f t="shared" si="13"/>
        <v>0.40450000000000003</v>
      </c>
      <c r="AB6" s="5">
        <f t="shared" si="14"/>
        <v>0.41610000000000003</v>
      </c>
      <c r="AC6" s="5">
        <f t="shared" si="15"/>
        <v>1.1599999999999999E-2</v>
      </c>
      <c r="AD6" s="3">
        <v>4.0761644034017101E-2</v>
      </c>
      <c r="AE6" s="4">
        <f>ROUND(S6*(1-(Exhaust!$B$2+AD6)),2)</f>
        <v>0</v>
      </c>
      <c r="AF6" s="5">
        <f>ROUND(T6*(1-(Exhaust!$B$3+$AD6)),2)</f>
        <v>2.83</v>
      </c>
      <c r="AG6" s="3">
        <f>ROUND(U6*(1-(Exhaust!$B$4+$AD6)),2)</f>
        <v>3.59</v>
      </c>
      <c r="AH6" s="4">
        <f>ROUND($AE6*(SUMIFS(PrefFlows!$C:$C,PrefFlows!$A:$A,$S$1,PrefFlows!$B:$B,$B6)+$AC6)+$AF6*(SUMIFS(PrefFlows!$C:$C,PrefFlows!$A:$A,$T$1,PrefFlows!$B:$B,$B6)+$AC6)+$AG6*(SUMIFS(PrefFlows!$C:$C,PrefFlows!$A:$A,$U$1,PrefFlows!$B:$B,$B6)+$AC6),2)</f>
        <v>2.58</v>
      </c>
      <c r="AI6" s="3">
        <f>ROUND($AE6*(1-(SUMIFS(PrefFlows!$C:$C,PrefFlows!$A:$A,$S$1,PrefFlows!$B:$B,$B6)+$AC6))+$AF6*(1-(SUMIFS(PrefFlows!$C:$C,PrefFlows!$A:$A,$T$1,PrefFlows!$B:$B,$B6)+$AC6))+$AG6*(1-(SUMIFS(PrefFlows!$C:$C,PrefFlows!$A:$A,$U$1,PrefFlows!$B:$B,$B6)+$AC6)),2)</f>
        <v>3.84</v>
      </c>
      <c r="AJ6" s="4">
        <f t="shared" si="16"/>
        <v>56.67</v>
      </c>
      <c r="AK6" s="3">
        <f t="shared" si="17"/>
        <v>36.869999999999997</v>
      </c>
      <c r="AL6" s="4">
        <f t="shared" si="18"/>
        <v>60.58</v>
      </c>
      <c r="AM6" s="3">
        <f t="shared" si="18"/>
        <v>39.42</v>
      </c>
      <c r="AN6" s="1">
        <f t="shared" si="0"/>
        <v>9.4499999999999993</v>
      </c>
      <c r="AO6" s="1">
        <f t="shared" si="1"/>
        <v>10.63</v>
      </c>
      <c r="AP6" s="3">
        <f t="shared" si="2"/>
        <v>10.58</v>
      </c>
      <c r="AQ6" s="1" t="b">
        <f t="shared" si="19"/>
        <v>0</v>
      </c>
      <c r="AR6" s="1" t="b">
        <f t="shared" si="19"/>
        <v>0</v>
      </c>
      <c r="AS6" s="3" t="b">
        <f t="shared" si="20"/>
        <v>0</v>
      </c>
      <c r="AT6" s="1">
        <f t="shared" si="21"/>
        <v>1.1800000000000015</v>
      </c>
      <c r="AU6" s="1">
        <f t="shared" si="21"/>
        <v>1.1300000000000008</v>
      </c>
      <c r="AV6" s="3">
        <f t="shared" si="22"/>
        <v>5.0000000000000711E-2</v>
      </c>
      <c r="AW6" s="1">
        <f>ROUND(IF($B6="NSW",N6*Meta!$B$6,N6),1)</f>
        <v>3793</v>
      </c>
      <c r="AX6" s="3">
        <f t="shared" si="3"/>
        <v>89832.5</v>
      </c>
    </row>
    <row r="7" spans="1:50" x14ac:dyDescent="0.55000000000000004">
      <c r="A7" s="2" t="s">
        <v>14</v>
      </c>
      <c r="B7" s="3" t="s">
        <v>12</v>
      </c>
      <c r="C7" s="4">
        <v>55.26</v>
      </c>
      <c r="D7" s="5">
        <v>33.46</v>
      </c>
      <c r="E7" s="5">
        <v>0</v>
      </c>
      <c r="F7" s="5">
        <v>0</v>
      </c>
      <c r="G7" s="5">
        <v>0</v>
      </c>
      <c r="H7" s="5">
        <v>8.2799999999999994</v>
      </c>
      <c r="I7" s="5">
        <v>3</v>
      </c>
      <c r="J7" s="3">
        <f t="shared" si="4"/>
        <v>3</v>
      </c>
      <c r="K7" s="4">
        <v>37.9</v>
      </c>
      <c r="L7" s="3">
        <v>62.1</v>
      </c>
      <c r="M7" s="4">
        <v>86795</v>
      </c>
      <c r="N7" s="5">
        <v>4829</v>
      </c>
      <c r="O7" s="3">
        <f t="shared" si="5"/>
        <v>81966</v>
      </c>
      <c r="P7" s="5">
        <f t="shared" si="6"/>
        <v>5.5636845440405557E-2</v>
      </c>
      <c r="Q7" s="4">
        <f>ROUND($C7+MIN($D7:$E7)*(1-SUMIFS(PrefFlows!$C:$C,PrefFlows!$A:$A,INDEX($D$1:$E$1,MATCH(MIN($D7:$E7),$D7:$E7,0)),PrefFlows!$B:$B,$B7)),2)</f>
        <v>55.26</v>
      </c>
      <c r="R7" s="5">
        <f>ROUND(MAX($D7:$E7)+MIN($D7:$E7)*SUMIFS(PrefFlows!$C:$C,PrefFlows!$A:$A,INDEX($D$1:$E$1,MATCH(MIN($D7:$E7),$D7:$E7,0)),PrefFlows!$B:$B,$B7),2)</f>
        <v>33.46</v>
      </c>
      <c r="S7" s="5">
        <f t="shared" si="7"/>
        <v>0</v>
      </c>
      <c r="T7" s="5">
        <f t="shared" si="8"/>
        <v>8.2799999999999994</v>
      </c>
      <c r="U7" s="3">
        <f t="shared" si="9"/>
        <v>3</v>
      </c>
      <c r="V7" s="6">
        <f t="shared" si="10"/>
        <v>-21.8</v>
      </c>
      <c r="W7" s="4">
        <f>ROUND($S7*SUMIFS(PrefFlows!$C:$C,PrefFlows!$A:$A,$S$1,PrefFlows!$B:$B,$B7)+$T7*SUMIFS(PrefFlows!$C:$C,PrefFlows!$A:$A,$T$1,PrefFlows!$B:$B,$B7)+$U7*SUMIFS(PrefFlows!$C:$C,PrefFlows!$A:$A,$U$1,PrefFlows!$B:$B,$B7),2)</f>
        <v>3.18</v>
      </c>
      <c r="X7" s="3">
        <f>ROUND($S7*(1-SUMIFS(PrefFlows!$C:$C,PrefFlows!$A:$A,$S$1,PrefFlows!$B:$B,$B7))+$T7*(1-SUMIFS(PrefFlows!$C:$C,PrefFlows!$A:$A,$T$1,PrefFlows!$B:$B,$B7))+$U7*(1-SUMIFS(PrefFlows!$C:$C,PrefFlows!$A:$A,$U$1,PrefFlows!$B:$B,$B7)),2)</f>
        <v>8.1</v>
      </c>
      <c r="Y7" s="4">
        <f t="shared" si="11"/>
        <v>4.4400000000000004</v>
      </c>
      <c r="Z7" s="3">
        <f t="shared" si="12"/>
        <v>6.84</v>
      </c>
      <c r="AA7" s="4">
        <f t="shared" si="13"/>
        <v>0.28189999999999998</v>
      </c>
      <c r="AB7" s="5">
        <f t="shared" si="14"/>
        <v>0.39360000000000001</v>
      </c>
      <c r="AC7" s="5">
        <f t="shared" si="15"/>
        <v>0.11169999999999999</v>
      </c>
      <c r="AD7" s="3">
        <v>6.0921894453394201E-2</v>
      </c>
      <c r="AE7" s="4">
        <f>ROUND(S7*(1-(Exhaust!$B$2+AD7)),2)</f>
        <v>0</v>
      </c>
      <c r="AF7" s="5">
        <f>ROUND(T7*(1-(Exhaust!$B$3+$AD7)),2)</f>
        <v>4.46</v>
      </c>
      <c r="AG7" s="3">
        <f>ROUND(U7*(1-(Exhaust!$B$4+$AD7)),2)</f>
        <v>1.32</v>
      </c>
      <c r="AH7" s="4">
        <f>ROUND($AE7*(SUMIFS(PrefFlows!$C:$C,PrefFlows!$A:$A,$S$1,PrefFlows!$B:$B,$B7)+$AC7)+$AF7*(SUMIFS(PrefFlows!$C:$C,PrefFlows!$A:$A,$T$1,PrefFlows!$B:$B,$B7)+$AC7)+$AG7*(SUMIFS(PrefFlows!$C:$C,PrefFlows!$A:$A,$U$1,PrefFlows!$B:$B,$B7)+$AC7),2)</f>
        <v>2.2000000000000002</v>
      </c>
      <c r="AI7" s="3">
        <f>ROUND($AE7*(1-(SUMIFS(PrefFlows!$C:$C,PrefFlows!$A:$A,$S$1,PrefFlows!$B:$B,$B7)+$AC7))+$AF7*(1-(SUMIFS(PrefFlows!$C:$C,PrefFlows!$A:$A,$T$1,PrefFlows!$B:$B,$B7)+$AC7))+$AG7*(1-(SUMIFS(PrefFlows!$C:$C,PrefFlows!$A:$A,$U$1,PrefFlows!$B:$B,$B7)+$AC7)),2)</f>
        <v>3.58</v>
      </c>
      <c r="AJ7" s="4">
        <f t="shared" si="16"/>
        <v>35.659999999999997</v>
      </c>
      <c r="AK7" s="3">
        <f t="shared" si="17"/>
        <v>58.84</v>
      </c>
      <c r="AL7" s="4">
        <f t="shared" si="18"/>
        <v>37.74</v>
      </c>
      <c r="AM7" s="3">
        <f t="shared" si="18"/>
        <v>62.26</v>
      </c>
      <c r="AN7" s="1">
        <f t="shared" si="0"/>
        <v>-12.1</v>
      </c>
      <c r="AO7" s="1">
        <f t="shared" si="1"/>
        <v>-12.18</v>
      </c>
      <c r="AP7" s="3">
        <f t="shared" si="2"/>
        <v>-12.26</v>
      </c>
      <c r="AQ7" s="1" t="b">
        <f t="shared" si="19"/>
        <v>0</v>
      </c>
      <c r="AR7" s="1" t="b">
        <f t="shared" si="19"/>
        <v>0</v>
      </c>
      <c r="AS7" s="3" t="b">
        <f t="shared" si="20"/>
        <v>0</v>
      </c>
      <c r="AT7" s="1">
        <f t="shared" si="21"/>
        <v>-8.0000000000000071E-2</v>
      </c>
      <c r="AU7" s="1">
        <f t="shared" si="21"/>
        <v>-0.16000000000000014</v>
      </c>
      <c r="AV7" s="3">
        <f t="shared" si="22"/>
        <v>8.0000000000000071E-2</v>
      </c>
      <c r="AW7" s="1">
        <f>ROUND(IF($B7="NSW",N7*Meta!$B$6,N7),1)</f>
        <v>3172.7</v>
      </c>
      <c r="AX7" s="3">
        <f t="shared" si="3"/>
        <v>80081.8</v>
      </c>
    </row>
    <row r="8" spans="1:50" x14ac:dyDescent="0.55000000000000004">
      <c r="A8" s="2" t="s">
        <v>15</v>
      </c>
      <c r="B8" s="3" t="s">
        <v>16</v>
      </c>
      <c r="C8" s="4">
        <v>37.229999999999997</v>
      </c>
      <c r="D8" s="5">
        <v>43.5</v>
      </c>
      <c r="E8" s="5">
        <v>0</v>
      </c>
      <c r="F8" s="5">
        <v>1.46</v>
      </c>
      <c r="G8" s="5">
        <v>0</v>
      </c>
      <c r="H8" s="5">
        <v>15.27</v>
      </c>
      <c r="I8" s="5">
        <v>2.54</v>
      </c>
      <c r="J8" s="3">
        <f t="shared" si="4"/>
        <v>4</v>
      </c>
      <c r="K8" s="4">
        <v>49</v>
      </c>
      <c r="L8" s="3">
        <v>51</v>
      </c>
      <c r="M8" s="4">
        <v>65977</v>
      </c>
      <c r="N8" s="5">
        <v>2142</v>
      </c>
      <c r="O8" s="3">
        <f t="shared" si="5"/>
        <v>63835</v>
      </c>
      <c r="P8" s="5">
        <f t="shared" si="6"/>
        <v>3.2465859314609637E-2</v>
      </c>
      <c r="Q8" s="4">
        <f>ROUND($C8+MIN($D8:$E8)*(1-SUMIFS(PrefFlows!$C:$C,PrefFlows!$A:$A,INDEX($D$1:$E$1,MATCH(MIN($D8:$E8),$D8:$E8,0)),PrefFlows!$B:$B,$B8)),2)</f>
        <v>37.229999999999997</v>
      </c>
      <c r="R8" s="5">
        <f>ROUND(MAX($D8:$E8)+MIN($D8:$E8)*SUMIFS(PrefFlows!$C:$C,PrefFlows!$A:$A,INDEX($D$1:$E$1,MATCH(MIN($D8:$E8),$D8:$E8,0)),PrefFlows!$B:$B,$B8),2)</f>
        <v>43.5</v>
      </c>
      <c r="S8" s="5">
        <f t="shared" si="7"/>
        <v>0</v>
      </c>
      <c r="T8" s="5">
        <f t="shared" si="8"/>
        <v>15.27</v>
      </c>
      <c r="U8" s="3">
        <f t="shared" si="9"/>
        <v>4</v>
      </c>
      <c r="V8" s="6">
        <f t="shared" si="10"/>
        <v>6.27</v>
      </c>
      <c r="W8" s="4">
        <f>ROUND($S8*SUMIFS(PrefFlows!$C:$C,PrefFlows!$A:$A,$S$1,PrefFlows!$B:$B,$B8)+$T8*SUMIFS(PrefFlows!$C:$C,PrefFlows!$A:$A,$T$1,PrefFlows!$B:$B,$B8)+$U8*SUMIFS(PrefFlows!$C:$C,PrefFlows!$A:$A,$U$1,PrefFlows!$B:$B,$B8),2)</f>
        <v>5.52</v>
      </c>
      <c r="X8" s="3">
        <f>ROUND($S8*(1-SUMIFS(PrefFlows!$C:$C,PrefFlows!$A:$A,$S$1,PrefFlows!$B:$B,$B8))+$T8*(1-SUMIFS(PrefFlows!$C:$C,PrefFlows!$A:$A,$T$1,PrefFlows!$B:$B,$B8))+$U8*(1-SUMIFS(PrefFlows!$C:$C,PrefFlows!$A:$A,$U$1,PrefFlows!$B:$B,$B8)),2)</f>
        <v>13.75</v>
      </c>
      <c r="Y8" s="4">
        <f t="shared" si="11"/>
        <v>5.5</v>
      </c>
      <c r="Z8" s="3">
        <f t="shared" si="12"/>
        <v>13.77</v>
      </c>
      <c r="AA8" s="4">
        <f t="shared" si="13"/>
        <v>0.28649999999999998</v>
      </c>
      <c r="AB8" s="5">
        <f t="shared" si="14"/>
        <v>0.28539999999999999</v>
      </c>
      <c r="AC8" s="5">
        <f t="shared" si="15"/>
        <v>-1.1000000000000001E-3</v>
      </c>
      <c r="AD8" s="3">
        <v>5.4889439865963098E-2</v>
      </c>
      <c r="AE8" s="4">
        <f>ROUND(S8*(1-(Exhaust!$B$2+AD8)),2)</f>
        <v>0</v>
      </c>
      <c r="AF8" s="5">
        <f>ROUND(T8*(1-(Exhaust!$B$3+$AD8)),2)</f>
        <v>8.32</v>
      </c>
      <c r="AG8" s="3">
        <f>ROUND(U8*(1-(Exhaust!$B$4+$AD8)),2)</f>
        <v>1.78</v>
      </c>
      <c r="AH8" s="4">
        <f>ROUND($AE8*(SUMIFS(PrefFlows!$C:$C,PrefFlows!$A:$A,$S$1,PrefFlows!$B:$B,$B8)+$AC8)+$AF8*(SUMIFS(PrefFlows!$C:$C,PrefFlows!$A:$A,$T$1,PrefFlows!$B:$B,$B8)+$AC8)+$AG8*(SUMIFS(PrefFlows!$C:$C,PrefFlows!$A:$A,$U$1,PrefFlows!$B:$B,$B8)+$AC8),2)</f>
        <v>2.77</v>
      </c>
      <c r="AI8" s="3">
        <f>ROUND($AE8*(1-(SUMIFS(PrefFlows!$C:$C,PrefFlows!$A:$A,$S$1,PrefFlows!$B:$B,$B8)+$AC8))+$AF8*(1-(SUMIFS(PrefFlows!$C:$C,PrefFlows!$A:$A,$T$1,PrefFlows!$B:$B,$B8)+$AC8))+$AG8*(1-(SUMIFS(PrefFlows!$C:$C,PrefFlows!$A:$A,$U$1,PrefFlows!$B:$B,$B8)+$AC8)),2)</f>
        <v>7.33</v>
      </c>
      <c r="AJ8" s="4">
        <f t="shared" si="16"/>
        <v>46.27</v>
      </c>
      <c r="AK8" s="3">
        <f t="shared" si="17"/>
        <v>44.56</v>
      </c>
      <c r="AL8" s="4">
        <f t="shared" si="18"/>
        <v>50.94</v>
      </c>
      <c r="AM8" s="3">
        <f t="shared" si="18"/>
        <v>49.06</v>
      </c>
      <c r="AN8" s="1">
        <f t="shared" si="0"/>
        <v>-1</v>
      </c>
      <c r="AO8" s="1">
        <f t="shared" si="1"/>
        <v>1.0900000000000001</v>
      </c>
      <c r="AP8" s="3">
        <f t="shared" si="2"/>
        <v>0.94</v>
      </c>
      <c r="AQ8" s="1" t="b">
        <f t="shared" si="19"/>
        <v>1</v>
      </c>
      <c r="AR8" s="1" t="b">
        <f t="shared" si="19"/>
        <v>1</v>
      </c>
      <c r="AS8" s="3" t="b">
        <f t="shared" si="20"/>
        <v>0</v>
      </c>
      <c r="AT8" s="1">
        <f t="shared" si="21"/>
        <v>2.09</v>
      </c>
      <c r="AU8" s="1">
        <f t="shared" si="21"/>
        <v>1.94</v>
      </c>
      <c r="AV8" s="3">
        <f t="shared" si="22"/>
        <v>0.15000000000000013</v>
      </c>
      <c r="AW8" s="1">
        <f>ROUND(IF($B8="NSW",N8*Meta!$B$6,N8),1)</f>
        <v>2142</v>
      </c>
      <c r="AX8" s="3">
        <f t="shared" si="3"/>
        <v>58668.4</v>
      </c>
    </row>
    <row r="9" spans="1:50" x14ac:dyDescent="0.55000000000000004">
      <c r="A9" s="2" t="s">
        <v>17</v>
      </c>
      <c r="B9" s="3" t="s">
        <v>9</v>
      </c>
      <c r="C9" s="4">
        <v>57.18</v>
      </c>
      <c r="D9" s="5">
        <v>20.64</v>
      </c>
      <c r="E9" s="5">
        <v>0</v>
      </c>
      <c r="F9" s="5">
        <v>2.62</v>
      </c>
      <c r="G9" s="5">
        <v>0</v>
      </c>
      <c r="H9" s="5">
        <v>17.170000000000002</v>
      </c>
      <c r="I9" s="5">
        <v>2.39</v>
      </c>
      <c r="J9" s="3">
        <f t="shared" si="4"/>
        <v>5.01</v>
      </c>
      <c r="K9" s="4">
        <v>24.05</v>
      </c>
      <c r="L9" s="3">
        <v>75.95</v>
      </c>
      <c r="M9" s="4">
        <v>82828</v>
      </c>
      <c r="N9" s="5">
        <v>3167</v>
      </c>
      <c r="O9" s="3">
        <f t="shared" si="5"/>
        <v>79661</v>
      </c>
      <c r="P9" s="5">
        <f t="shared" si="6"/>
        <v>3.8235862268797993E-2</v>
      </c>
      <c r="Q9" s="4">
        <f>ROUND($C9+MIN($D9:$E9)*(1-SUMIFS(PrefFlows!$C:$C,PrefFlows!$A:$A,INDEX($D$1:$E$1,MATCH(MIN($D9:$E9),$D9:$E9,0)),PrefFlows!$B:$B,$B9)),2)</f>
        <v>57.18</v>
      </c>
      <c r="R9" s="5">
        <f>ROUND(MAX($D9:$E9)+MIN($D9:$E9)*SUMIFS(PrefFlows!$C:$C,PrefFlows!$A:$A,INDEX($D$1:$E$1,MATCH(MIN($D9:$E9),$D9:$E9,0)),PrefFlows!$B:$B,$B9),2)</f>
        <v>20.64</v>
      </c>
      <c r="S9" s="5">
        <f t="shared" si="7"/>
        <v>0</v>
      </c>
      <c r="T9" s="5">
        <f t="shared" si="8"/>
        <v>17.170000000000002</v>
      </c>
      <c r="U9" s="3">
        <f t="shared" si="9"/>
        <v>5.01</v>
      </c>
      <c r="V9" s="6">
        <f t="shared" si="10"/>
        <v>-36.54</v>
      </c>
      <c r="W9" s="4">
        <f>ROUND($S9*SUMIFS(PrefFlows!$C:$C,PrefFlows!$A:$A,$S$1,PrefFlows!$B:$B,$B9)+$T9*SUMIFS(PrefFlows!$C:$C,PrefFlows!$A:$A,$T$1,PrefFlows!$B:$B,$B9)+$U9*SUMIFS(PrefFlows!$C:$C,PrefFlows!$A:$A,$U$1,PrefFlows!$B:$B,$B9),2)</f>
        <v>5.6</v>
      </c>
      <c r="X9" s="3">
        <f>ROUND($S9*(1-SUMIFS(PrefFlows!$C:$C,PrefFlows!$A:$A,$S$1,PrefFlows!$B:$B,$B9))+$T9*(1-SUMIFS(PrefFlows!$C:$C,PrefFlows!$A:$A,$T$1,PrefFlows!$B:$B,$B9))+$U9*(1-SUMIFS(PrefFlows!$C:$C,PrefFlows!$A:$A,$U$1,PrefFlows!$B:$B,$B9)),2)</f>
        <v>16.579999999999998</v>
      </c>
      <c r="Y9" s="4">
        <f t="shared" si="11"/>
        <v>3.41</v>
      </c>
      <c r="Z9" s="3">
        <f t="shared" si="12"/>
        <v>18.77</v>
      </c>
      <c r="AA9" s="4">
        <f t="shared" si="13"/>
        <v>0.2525</v>
      </c>
      <c r="AB9" s="5">
        <f t="shared" si="14"/>
        <v>0.1537</v>
      </c>
      <c r="AC9" s="5">
        <f t="shared" si="15"/>
        <v>-9.8799999999999999E-2</v>
      </c>
      <c r="AD9" s="3">
        <v>-0.168245350525</v>
      </c>
      <c r="AE9" s="4">
        <f>ROUND(S9*(1-(Exhaust!$B$2+AD9)),2)</f>
        <v>0</v>
      </c>
      <c r="AF9" s="5">
        <f>ROUND(T9*(1-(Exhaust!$B$3+$AD9)),2)</f>
        <v>13.19</v>
      </c>
      <c r="AG9" s="3">
        <f>ROUND(U9*(1-(Exhaust!$B$4+$AD9)),2)</f>
        <v>3.35</v>
      </c>
      <c r="AH9" s="4">
        <f>ROUND($AE9*(SUMIFS(PrefFlows!$C:$C,PrefFlows!$A:$A,$S$1,PrefFlows!$B:$B,$B9)+$AC9)+$AF9*(SUMIFS(PrefFlows!$C:$C,PrefFlows!$A:$A,$T$1,PrefFlows!$B:$B,$B9)+$AC9)+$AG9*(SUMIFS(PrefFlows!$C:$C,PrefFlows!$A:$A,$U$1,PrefFlows!$B:$B,$B9)+$AC9),2)</f>
        <v>2.41</v>
      </c>
      <c r="AI9" s="3">
        <f>ROUND($AE9*(1-(SUMIFS(PrefFlows!$C:$C,PrefFlows!$A:$A,$S$1,PrefFlows!$B:$B,$B9)+$AC9))+$AF9*(1-(SUMIFS(PrefFlows!$C:$C,PrefFlows!$A:$A,$T$1,PrefFlows!$B:$B,$B9)+$AC9))+$AG9*(1-(SUMIFS(PrefFlows!$C:$C,PrefFlows!$A:$A,$U$1,PrefFlows!$B:$B,$B9)+$AC9)),2)</f>
        <v>14.13</v>
      </c>
      <c r="AJ9" s="4">
        <f t="shared" si="16"/>
        <v>23.05</v>
      </c>
      <c r="AK9" s="3">
        <f t="shared" si="17"/>
        <v>71.31</v>
      </c>
      <c r="AL9" s="4">
        <f t="shared" si="18"/>
        <v>24.43</v>
      </c>
      <c r="AM9" s="3">
        <f t="shared" si="18"/>
        <v>75.569999999999993</v>
      </c>
      <c r="AN9" s="1">
        <f t="shared" si="0"/>
        <v>-25.95</v>
      </c>
      <c r="AO9" s="1">
        <f t="shared" si="1"/>
        <v>-24.92</v>
      </c>
      <c r="AP9" s="3">
        <f t="shared" si="2"/>
        <v>-25.57</v>
      </c>
      <c r="AQ9" s="1" t="b">
        <f t="shared" si="19"/>
        <v>0</v>
      </c>
      <c r="AR9" s="1" t="b">
        <f t="shared" si="19"/>
        <v>0</v>
      </c>
      <c r="AS9" s="3" t="b">
        <f t="shared" si="20"/>
        <v>0</v>
      </c>
      <c r="AT9" s="1">
        <f t="shared" si="21"/>
        <v>1.0299999999999976</v>
      </c>
      <c r="AU9" s="1">
        <f t="shared" si="21"/>
        <v>0.37999999999999901</v>
      </c>
      <c r="AV9" s="3">
        <f t="shared" si="22"/>
        <v>0.64999999999999858</v>
      </c>
      <c r="AW9" s="1">
        <f>ROUND(IF($B9="NSW",N9*Meta!$B$6,N9),1)</f>
        <v>3167</v>
      </c>
      <c r="AX9" s="3">
        <f t="shared" si="3"/>
        <v>76223.399999999994</v>
      </c>
    </row>
    <row r="10" spans="1:50" x14ac:dyDescent="0.55000000000000004">
      <c r="A10" s="2" t="s">
        <v>18</v>
      </c>
      <c r="B10" s="3" t="s">
        <v>9</v>
      </c>
      <c r="C10" s="4">
        <v>47.14</v>
      </c>
      <c r="D10" s="5">
        <v>38.42</v>
      </c>
      <c r="E10" s="5">
        <v>0</v>
      </c>
      <c r="F10" s="5">
        <v>3.55</v>
      </c>
      <c r="G10" s="5">
        <v>0</v>
      </c>
      <c r="H10" s="5">
        <v>7.25</v>
      </c>
      <c r="I10" s="5">
        <v>3.64</v>
      </c>
      <c r="J10" s="3">
        <f t="shared" si="4"/>
        <v>7.19</v>
      </c>
      <c r="K10" s="4">
        <v>43.87</v>
      </c>
      <c r="L10" s="3">
        <v>56.13</v>
      </c>
      <c r="M10" s="4">
        <v>93275</v>
      </c>
      <c r="N10" s="5">
        <v>3305</v>
      </c>
      <c r="O10" s="3">
        <f t="shared" si="5"/>
        <v>89970</v>
      </c>
      <c r="P10" s="5">
        <f t="shared" si="6"/>
        <v>3.5432859823103728E-2</v>
      </c>
      <c r="Q10" s="4">
        <f>ROUND($C10+MIN($D10:$E10)*(1-SUMIFS(PrefFlows!$C:$C,PrefFlows!$A:$A,INDEX($D$1:$E$1,MATCH(MIN($D10:$E10),$D10:$E10,0)),PrefFlows!$B:$B,$B10)),2)</f>
        <v>47.14</v>
      </c>
      <c r="R10" s="5">
        <f>ROUND(MAX($D10:$E10)+MIN($D10:$E10)*SUMIFS(PrefFlows!$C:$C,PrefFlows!$A:$A,INDEX($D$1:$E$1,MATCH(MIN($D10:$E10),$D10:$E10,0)),PrefFlows!$B:$B,$B10),2)</f>
        <v>38.42</v>
      </c>
      <c r="S10" s="5">
        <f t="shared" si="7"/>
        <v>0</v>
      </c>
      <c r="T10" s="5">
        <f t="shared" si="8"/>
        <v>7.25</v>
      </c>
      <c r="U10" s="3">
        <f t="shared" si="9"/>
        <v>7.19</v>
      </c>
      <c r="V10" s="6">
        <f t="shared" si="10"/>
        <v>-8.7200000000000006</v>
      </c>
      <c r="W10" s="4">
        <f>ROUND($S10*SUMIFS(PrefFlows!$C:$C,PrefFlows!$A:$A,$S$1,PrefFlows!$B:$B,$B10)+$T10*SUMIFS(PrefFlows!$C:$C,PrefFlows!$A:$A,$T$1,PrefFlows!$B:$B,$B10)+$U10*SUMIFS(PrefFlows!$C:$C,PrefFlows!$A:$A,$U$1,PrefFlows!$B:$B,$B10),2)</f>
        <v>5.07</v>
      </c>
      <c r="X10" s="3">
        <f>ROUND($S10*(1-SUMIFS(PrefFlows!$C:$C,PrefFlows!$A:$A,$S$1,PrefFlows!$B:$B,$B10))+$T10*(1-SUMIFS(PrefFlows!$C:$C,PrefFlows!$A:$A,$T$1,PrefFlows!$B:$B,$B10))+$U10*(1-SUMIFS(PrefFlows!$C:$C,PrefFlows!$A:$A,$U$1,PrefFlows!$B:$B,$B10)),2)</f>
        <v>9.3699999999999992</v>
      </c>
      <c r="Y10" s="4">
        <f t="shared" si="11"/>
        <v>5.45</v>
      </c>
      <c r="Z10" s="3">
        <f t="shared" si="12"/>
        <v>8.99</v>
      </c>
      <c r="AA10" s="4">
        <f t="shared" si="13"/>
        <v>0.35110000000000002</v>
      </c>
      <c r="AB10" s="5">
        <f t="shared" si="14"/>
        <v>0.37740000000000001</v>
      </c>
      <c r="AC10" s="5">
        <f t="shared" si="15"/>
        <v>2.63E-2</v>
      </c>
      <c r="AD10" s="3">
        <v>-8.4885433185555595E-2</v>
      </c>
      <c r="AE10" s="4">
        <f>ROUND(S10*(1-(Exhaust!$B$2+AD10)),2)</f>
        <v>0</v>
      </c>
      <c r="AF10" s="5">
        <f>ROUND(T10*(1-(Exhaust!$B$3+$AD10)),2)</f>
        <v>4.97</v>
      </c>
      <c r="AG10" s="3">
        <f>ROUND(U10*(1-(Exhaust!$B$4+$AD10)),2)</f>
        <v>4.21</v>
      </c>
      <c r="AH10" s="4">
        <f>ROUND($AE10*(SUMIFS(PrefFlows!$C:$C,PrefFlows!$A:$A,$S$1,PrefFlows!$B:$B,$B10)+$AC10)+$AF10*(SUMIFS(PrefFlows!$C:$C,PrefFlows!$A:$A,$T$1,PrefFlows!$B:$B,$B10)+$AC10)+$AG10*(SUMIFS(PrefFlows!$C:$C,PrefFlows!$A:$A,$U$1,PrefFlows!$B:$B,$B10)+$AC10),2)</f>
        <v>3.33</v>
      </c>
      <c r="AI10" s="3">
        <f>ROUND($AE10*(1-(SUMIFS(PrefFlows!$C:$C,PrefFlows!$A:$A,$S$1,PrefFlows!$B:$B,$B10)+$AC10))+$AF10*(1-(SUMIFS(PrefFlows!$C:$C,PrefFlows!$A:$A,$T$1,PrefFlows!$B:$B,$B10)+$AC10))+$AG10*(1-(SUMIFS(PrefFlows!$C:$C,PrefFlows!$A:$A,$U$1,PrefFlows!$B:$B,$B10)+$AC10)),2)</f>
        <v>5.85</v>
      </c>
      <c r="AJ10" s="4">
        <f t="shared" si="16"/>
        <v>41.75</v>
      </c>
      <c r="AK10" s="3">
        <f t="shared" si="17"/>
        <v>52.99</v>
      </c>
      <c r="AL10" s="4">
        <f t="shared" si="18"/>
        <v>44.07</v>
      </c>
      <c r="AM10" s="3">
        <f t="shared" si="18"/>
        <v>55.93</v>
      </c>
      <c r="AN10" s="1">
        <f t="shared" si="0"/>
        <v>-6.13</v>
      </c>
      <c r="AO10" s="1">
        <f t="shared" si="1"/>
        <v>-5.67</v>
      </c>
      <c r="AP10" s="3">
        <f t="shared" si="2"/>
        <v>-5.93</v>
      </c>
      <c r="AQ10" s="1" t="b">
        <f t="shared" si="19"/>
        <v>0</v>
      </c>
      <c r="AR10" s="1" t="b">
        <f t="shared" si="19"/>
        <v>0</v>
      </c>
      <c r="AS10" s="3" t="b">
        <f t="shared" si="20"/>
        <v>0</v>
      </c>
      <c r="AT10" s="1">
        <f t="shared" si="21"/>
        <v>0.45999999999999996</v>
      </c>
      <c r="AU10" s="1">
        <f t="shared" si="21"/>
        <v>0.20000000000000018</v>
      </c>
      <c r="AV10" s="3">
        <f t="shared" si="22"/>
        <v>0.25999999999999979</v>
      </c>
      <c r="AW10" s="1">
        <f>ROUND(IF($B10="NSW",N10*Meta!$B$6,N10),1)</f>
        <v>3305</v>
      </c>
      <c r="AX10" s="3">
        <f t="shared" si="3"/>
        <v>86343.3</v>
      </c>
    </row>
    <row r="11" spans="1:50" x14ac:dyDescent="0.55000000000000004">
      <c r="A11" s="2" t="s">
        <v>19</v>
      </c>
      <c r="B11" s="3" t="s">
        <v>12</v>
      </c>
      <c r="C11" s="4">
        <v>45.33</v>
      </c>
      <c r="D11" s="5">
        <v>45.49</v>
      </c>
      <c r="E11" s="5">
        <v>0</v>
      </c>
      <c r="F11" s="5">
        <v>0.33</v>
      </c>
      <c r="G11" s="5">
        <v>0.3</v>
      </c>
      <c r="H11" s="5">
        <v>5.53</v>
      </c>
      <c r="I11" s="5">
        <v>3.32</v>
      </c>
      <c r="J11" s="3">
        <f t="shared" si="4"/>
        <v>3.35</v>
      </c>
      <c r="K11" s="4">
        <v>48.6</v>
      </c>
      <c r="L11" s="3">
        <v>51.4</v>
      </c>
      <c r="M11" s="4">
        <v>92700</v>
      </c>
      <c r="N11" s="5">
        <v>5764</v>
      </c>
      <c r="O11" s="3">
        <f t="shared" si="5"/>
        <v>86936</v>
      </c>
      <c r="P11" s="5">
        <f t="shared" si="6"/>
        <v>6.2179072276159653E-2</v>
      </c>
      <c r="Q11" s="4">
        <f>ROUND($C11+MIN($D11:$E11)*(1-SUMIFS(PrefFlows!$C:$C,PrefFlows!$A:$A,INDEX($D$1:$E$1,MATCH(MIN($D11:$E11),$D11:$E11,0)),PrefFlows!$B:$B,$B11)),2)</f>
        <v>45.33</v>
      </c>
      <c r="R11" s="5">
        <f>ROUND(MAX($D11:$E11)+MIN($D11:$E11)*SUMIFS(PrefFlows!$C:$C,PrefFlows!$A:$A,INDEX($D$1:$E$1,MATCH(MIN($D11:$E11),$D11:$E11,0)),PrefFlows!$B:$B,$B11),2)</f>
        <v>45.49</v>
      </c>
      <c r="S11" s="5">
        <f t="shared" si="7"/>
        <v>0.3</v>
      </c>
      <c r="T11" s="5">
        <f t="shared" si="8"/>
        <v>5.53</v>
      </c>
      <c r="U11" s="3">
        <f t="shared" si="9"/>
        <v>3.35</v>
      </c>
      <c r="V11" s="6">
        <f t="shared" si="10"/>
        <v>0.16</v>
      </c>
      <c r="W11" s="4">
        <f>ROUND($S11*SUMIFS(PrefFlows!$C:$C,PrefFlows!$A:$A,$S$1,PrefFlows!$B:$B,$B11)+$T11*SUMIFS(PrefFlows!$C:$C,PrefFlows!$A:$A,$T$1,PrefFlows!$B:$B,$B11)+$U11*SUMIFS(PrefFlows!$C:$C,PrefFlows!$A:$A,$U$1,PrefFlows!$B:$B,$B11),2)</f>
        <v>3.01</v>
      </c>
      <c r="X11" s="3">
        <f>ROUND($S11*(1-SUMIFS(PrefFlows!$C:$C,PrefFlows!$A:$A,$S$1,PrefFlows!$B:$B,$B11))+$T11*(1-SUMIFS(PrefFlows!$C:$C,PrefFlows!$A:$A,$T$1,PrefFlows!$B:$B,$B11))+$U11*(1-SUMIFS(PrefFlows!$C:$C,PrefFlows!$A:$A,$U$1,PrefFlows!$B:$B,$B11)),2)</f>
        <v>6.17</v>
      </c>
      <c r="Y11" s="4">
        <f t="shared" si="11"/>
        <v>3.11</v>
      </c>
      <c r="Z11" s="3">
        <f t="shared" si="12"/>
        <v>6.07</v>
      </c>
      <c r="AA11" s="4">
        <f t="shared" si="13"/>
        <v>0.32790000000000002</v>
      </c>
      <c r="AB11" s="5">
        <f t="shared" si="14"/>
        <v>0.33879999999999999</v>
      </c>
      <c r="AC11" s="5">
        <f t="shared" si="15"/>
        <v>1.09E-2</v>
      </c>
      <c r="AD11" s="3">
        <v>2.9128682386385499E-2</v>
      </c>
      <c r="AE11" s="4">
        <f>ROUND(S11*(1-(Exhaust!$B$2+AD11)),2)</f>
        <v>0.12</v>
      </c>
      <c r="AF11" s="5">
        <f>ROUND(T11*(1-(Exhaust!$B$3+$AD11)),2)</f>
        <v>3.16</v>
      </c>
      <c r="AG11" s="3">
        <f>ROUND(U11*(1-(Exhaust!$B$4+$AD11)),2)</f>
        <v>1.58</v>
      </c>
      <c r="AH11" s="4">
        <f>ROUND($AE11*(SUMIFS(PrefFlows!$C:$C,PrefFlows!$A:$A,$S$1,PrefFlows!$B:$B,$B11)+$AC11)+$AF11*(SUMIFS(PrefFlows!$C:$C,PrefFlows!$A:$A,$T$1,PrefFlows!$B:$B,$B11)+$AC11)+$AG11*(SUMIFS(PrefFlows!$C:$C,PrefFlows!$A:$A,$U$1,PrefFlows!$B:$B,$B11)+$AC11),2)</f>
        <v>1.57</v>
      </c>
      <c r="AI11" s="3">
        <f>ROUND($AE11*(1-(SUMIFS(PrefFlows!$C:$C,PrefFlows!$A:$A,$S$1,PrefFlows!$B:$B,$B11)+$AC11))+$AF11*(1-(SUMIFS(PrefFlows!$C:$C,PrefFlows!$A:$A,$T$1,PrefFlows!$B:$B,$B11)+$AC11))+$AG11*(1-(SUMIFS(PrefFlows!$C:$C,PrefFlows!$A:$A,$U$1,PrefFlows!$B:$B,$B11)+$AC11)),2)</f>
        <v>3.29</v>
      </c>
      <c r="AJ11" s="4">
        <f t="shared" si="16"/>
        <v>47.06</v>
      </c>
      <c r="AK11" s="3">
        <f t="shared" si="17"/>
        <v>48.62</v>
      </c>
      <c r="AL11" s="4">
        <f t="shared" si="18"/>
        <v>49.18</v>
      </c>
      <c r="AM11" s="3">
        <f t="shared" si="18"/>
        <v>50.82</v>
      </c>
      <c r="AN11" s="1">
        <f t="shared" si="0"/>
        <v>-1.4</v>
      </c>
      <c r="AO11" s="1">
        <f t="shared" si="1"/>
        <v>-0.72</v>
      </c>
      <c r="AP11" s="3">
        <f t="shared" si="2"/>
        <v>-0.82</v>
      </c>
      <c r="AQ11" s="1" t="b">
        <f t="shared" si="19"/>
        <v>0</v>
      </c>
      <c r="AR11" s="1" t="b">
        <f t="shared" si="19"/>
        <v>0</v>
      </c>
      <c r="AS11" s="3" t="b">
        <f t="shared" si="20"/>
        <v>0</v>
      </c>
      <c r="AT11" s="1">
        <f t="shared" si="21"/>
        <v>0.67999999999999994</v>
      </c>
      <c r="AU11" s="1">
        <f t="shared" si="21"/>
        <v>0.57999999999999996</v>
      </c>
      <c r="AV11" s="3">
        <f t="shared" si="22"/>
        <v>9.9999999999999978E-2</v>
      </c>
      <c r="AW11" s="1">
        <f>ROUND(IF($B11="NSW",N11*Meta!$B$6,N11),1)</f>
        <v>3786.9</v>
      </c>
      <c r="AX11" s="3">
        <f t="shared" si="3"/>
        <v>86351.5</v>
      </c>
    </row>
    <row r="12" spans="1:50" x14ac:dyDescent="0.55000000000000004">
      <c r="A12" s="2" t="s">
        <v>20</v>
      </c>
      <c r="B12" s="3" t="s">
        <v>12</v>
      </c>
      <c r="C12" s="4">
        <v>30.67</v>
      </c>
      <c r="D12" s="5">
        <v>53.42</v>
      </c>
      <c r="E12" s="5">
        <v>0</v>
      </c>
      <c r="F12" s="5">
        <v>1.26</v>
      </c>
      <c r="G12" s="5">
        <v>0</v>
      </c>
      <c r="H12" s="5">
        <v>9.18</v>
      </c>
      <c r="I12" s="5">
        <v>5.47</v>
      </c>
      <c r="J12" s="3">
        <f t="shared" si="4"/>
        <v>6.73</v>
      </c>
      <c r="K12" s="4">
        <v>58.94</v>
      </c>
      <c r="L12" s="3">
        <v>41.06</v>
      </c>
      <c r="M12" s="4">
        <v>87533</v>
      </c>
      <c r="N12" s="5">
        <v>4188</v>
      </c>
      <c r="O12" s="3">
        <f t="shared" si="5"/>
        <v>83345</v>
      </c>
      <c r="P12" s="5">
        <f t="shared" si="6"/>
        <v>4.7844812813453215E-2</v>
      </c>
      <c r="Q12" s="4">
        <f>ROUND($C12+MIN($D12:$E12)*(1-SUMIFS(PrefFlows!$C:$C,PrefFlows!$A:$A,INDEX($D$1:$E$1,MATCH(MIN($D12:$E12),$D12:$E12,0)),PrefFlows!$B:$B,$B12)),2)</f>
        <v>30.67</v>
      </c>
      <c r="R12" s="5">
        <f>ROUND(MAX($D12:$E12)+MIN($D12:$E12)*SUMIFS(PrefFlows!$C:$C,PrefFlows!$A:$A,INDEX($D$1:$E$1,MATCH(MIN($D12:$E12),$D12:$E12,0)),PrefFlows!$B:$B,$B12),2)</f>
        <v>53.42</v>
      </c>
      <c r="S12" s="5">
        <f t="shared" si="7"/>
        <v>0</v>
      </c>
      <c r="T12" s="5">
        <f t="shared" si="8"/>
        <v>9.18</v>
      </c>
      <c r="U12" s="3">
        <f t="shared" si="9"/>
        <v>6.73</v>
      </c>
      <c r="V12" s="6">
        <f t="shared" si="10"/>
        <v>22.75</v>
      </c>
      <c r="W12" s="4">
        <f>ROUND($S12*SUMIFS(PrefFlows!$C:$C,PrefFlows!$A:$A,$S$1,PrefFlows!$B:$B,$B12)+$T12*SUMIFS(PrefFlows!$C:$C,PrefFlows!$A:$A,$T$1,PrefFlows!$B:$B,$B12)+$U12*SUMIFS(PrefFlows!$C:$C,PrefFlows!$A:$A,$U$1,PrefFlows!$B:$B,$B12),2)</f>
        <v>5.32</v>
      </c>
      <c r="X12" s="3">
        <f>ROUND($S12*(1-SUMIFS(PrefFlows!$C:$C,PrefFlows!$A:$A,$S$1,PrefFlows!$B:$B,$B12))+$T12*(1-SUMIFS(PrefFlows!$C:$C,PrefFlows!$A:$A,$T$1,PrefFlows!$B:$B,$B12))+$U12*(1-SUMIFS(PrefFlows!$C:$C,PrefFlows!$A:$A,$U$1,PrefFlows!$B:$B,$B12)),2)</f>
        <v>10.59</v>
      </c>
      <c r="Y12" s="4">
        <f t="shared" si="11"/>
        <v>5.52</v>
      </c>
      <c r="Z12" s="3">
        <f t="shared" si="12"/>
        <v>10.39</v>
      </c>
      <c r="AA12" s="4">
        <f t="shared" si="13"/>
        <v>0.33439999999999998</v>
      </c>
      <c r="AB12" s="5">
        <f t="shared" si="14"/>
        <v>0.34699999999999998</v>
      </c>
      <c r="AC12" s="5">
        <f t="shared" si="15"/>
        <v>1.26E-2</v>
      </c>
      <c r="AD12" s="3">
        <v>3.1781314875865399E-2</v>
      </c>
      <c r="AE12" s="4">
        <f>ROUND(S12*(1-(Exhaust!$B$2+AD12)),2)</f>
        <v>0</v>
      </c>
      <c r="AF12" s="5">
        <f>ROUND(T12*(1-(Exhaust!$B$3+$AD12)),2)</f>
        <v>5.22</v>
      </c>
      <c r="AG12" s="3">
        <f>ROUND(U12*(1-(Exhaust!$B$4+$AD12)),2)</f>
        <v>3.15</v>
      </c>
      <c r="AH12" s="4">
        <f>ROUND($AE12*(SUMIFS(PrefFlows!$C:$C,PrefFlows!$A:$A,$S$1,PrefFlows!$B:$B,$B12)+$AC12)+$AF12*(SUMIFS(PrefFlows!$C:$C,PrefFlows!$A:$A,$T$1,PrefFlows!$B:$B,$B12)+$AC12)+$AG12*(SUMIFS(PrefFlows!$C:$C,PrefFlows!$A:$A,$U$1,PrefFlows!$B:$B,$B12)+$AC12),2)</f>
        <v>2.77</v>
      </c>
      <c r="AI12" s="3">
        <f>ROUND($AE12*(1-(SUMIFS(PrefFlows!$C:$C,PrefFlows!$A:$A,$S$1,PrefFlows!$B:$B,$B12)+$AC12))+$AF12*(1-(SUMIFS(PrefFlows!$C:$C,PrefFlows!$A:$A,$T$1,PrefFlows!$B:$B,$B12)+$AC12))+$AG12*(1-(SUMIFS(PrefFlows!$C:$C,PrefFlows!$A:$A,$U$1,PrefFlows!$B:$B,$B12)+$AC12)),2)</f>
        <v>5.6</v>
      </c>
      <c r="AJ12" s="4">
        <f t="shared" si="16"/>
        <v>56.19</v>
      </c>
      <c r="AK12" s="3">
        <f t="shared" si="17"/>
        <v>36.270000000000003</v>
      </c>
      <c r="AL12" s="4">
        <f t="shared" si="18"/>
        <v>60.77</v>
      </c>
      <c r="AM12" s="3">
        <f t="shared" si="18"/>
        <v>39.229999999999997</v>
      </c>
      <c r="AN12" s="1">
        <f t="shared" si="0"/>
        <v>8.94</v>
      </c>
      <c r="AO12" s="1">
        <f t="shared" si="1"/>
        <v>10.94</v>
      </c>
      <c r="AP12" s="3">
        <f t="shared" si="2"/>
        <v>10.77</v>
      </c>
      <c r="AQ12" s="1" t="b">
        <f t="shared" si="19"/>
        <v>0</v>
      </c>
      <c r="AR12" s="1" t="b">
        <f t="shared" si="19"/>
        <v>0</v>
      </c>
      <c r="AS12" s="3" t="b">
        <f t="shared" si="20"/>
        <v>0</v>
      </c>
      <c r="AT12" s="1">
        <f t="shared" si="21"/>
        <v>2</v>
      </c>
      <c r="AU12" s="1">
        <f t="shared" si="21"/>
        <v>1.83</v>
      </c>
      <c r="AV12" s="3">
        <f t="shared" si="22"/>
        <v>0.16999999999999993</v>
      </c>
      <c r="AW12" s="1">
        <f>ROUND(IF($B12="NSW",N12*Meta!$B$6,N12),1)</f>
        <v>2751.5</v>
      </c>
      <c r="AX12" s="3">
        <f t="shared" si="3"/>
        <v>79287.3</v>
      </c>
    </row>
    <row r="13" spans="1:50" x14ac:dyDescent="0.55000000000000004">
      <c r="A13" s="2" t="s">
        <v>21</v>
      </c>
      <c r="B13" s="3" t="s">
        <v>22</v>
      </c>
      <c r="C13" s="4">
        <v>48.83</v>
      </c>
      <c r="D13" s="5">
        <v>42.19</v>
      </c>
      <c r="E13" s="5">
        <v>0</v>
      </c>
      <c r="F13" s="5">
        <v>2.06</v>
      </c>
      <c r="G13" s="5">
        <v>0</v>
      </c>
      <c r="H13" s="5">
        <v>3.92</v>
      </c>
      <c r="I13" s="5">
        <v>3</v>
      </c>
      <c r="J13" s="3">
        <f t="shared" si="4"/>
        <v>5.0599999999999996</v>
      </c>
      <c r="K13" s="4">
        <v>45.52</v>
      </c>
      <c r="L13" s="3">
        <v>54.48</v>
      </c>
      <c r="M13" s="4">
        <v>86631</v>
      </c>
      <c r="N13" s="5">
        <v>3352</v>
      </c>
      <c r="O13" s="3">
        <f t="shared" si="5"/>
        <v>83279</v>
      </c>
      <c r="P13" s="5">
        <f t="shared" si="6"/>
        <v>3.8692846671514819E-2</v>
      </c>
      <c r="Q13" s="4">
        <f>ROUND($C13+MIN($D13:$E13)*(1-SUMIFS(PrefFlows!$C:$C,PrefFlows!$A:$A,INDEX($D$1:$E$1,MATCH(MIN($D13:$E13),$D13:$E13,0)),PrefFlows!$B:$B,$B13)),2)</f>
        <v>48.83</v>
      </c>
      <c r="R13" s="5">
        <f>ROUND(MAX($D13:$E13)+MIN($D13:$E13)*SUMIFS(PrefFlows!$C:$C,PrefFlows!$A:$A,INDEX($D$1:$E$1,MATCH(MIN($D13:$E13),$D13:$E13,0)),PrefFlows!$B:$B,$B13),2)</f>
        <v>42.19</v>
      </c>
      <c r="S13" s="5">
        <f t="shared" si="7"/>
        <v>0</v>
      </c>
      <c r="T13" s="5">
        <f t="shared" si="8"/>
        <v>3.92</v>
      </c>
      <c r="U13" s="3">
        <f t="shared" si="9"/>
        <v>5.0599999999999996</v>
      </c>
      <c r="V13" s="6">
        <f t="shared" si="10"/>
        <v>-6.64</v>
      </c>
      <c r="W13" s="4">
        <f>ROUND($S13*SUMIFS(PrefFlows!$C:$C,PrefFlows!$A:$A,$S$1,PrefFlows!$B:$B,$B13)+$T13*SUMIFS(PrefFlows!$C:$C,PrefFlows!$A:$A,$T$1,PrefFlows!$B:$B,$B13)+$U13*SUMIFS(PrefFlows!$C:$C,PrefFlows!$A:$A,$U$1,PrefFlows!$B:$B,$B13),2)</f>
        <v>3.54</v>
      </c>
      <c r="X13" s="3">
        <f>ROUND($S13*(1-SUMIFS(PrefFlows!$C:$C,PrefFlows!$A:$A,$S$1,PrefFlows!$B:$B,$B13))+$T13*(1-SUMIFS(PrefFlows!$C:$C,PrefFlows!$A:$A,$T$1,PrefFlows!$B:$B,$B13))+$U13*(1-SUMIFS(PrefFlows!$C:$C,PrefFlows!$A:$A,$U$1,PrefFlows!$B:$B,$B13)),2)</f>
        <v>5.44</v>
      </c>
      <c r="Y13" s="4">
        <f t="shared" si="11"/>
        <v>3.33</v>
      </c>
      <c r="Z13" s="3">
        <f t="shared" si="12"/>
        <v>5.65</v>
      </c>
      <c r="AA13" s="4">
        <f t="shared" si="13"/>
        <v>0.39419999999999999</v>
      </c>
      <c r="AB13" s="5">
        <f t="shared" si="14"/>
        <v>0.37080000000000002</v>
      </c>
      <c r="AC13" s="5">
        <f t="shared" si="15"/>
        <v>-2.3400000000000001E-2</v>
      </c>
      <c r="AD13" s="3">
        <v>4.66875384497814E-2</v>
      </c>
      <c r="AE13" s="4">
        <f>ROUND(S13*(1-(Exhaust!$B$2+AD13)),2)</f>
        <v>0</v>
      </c>
      <c r="AF13" s="5">
        <f>ROUND(T13*(1-(Exhaust!$B$3+$AD13)),2)</f>
        <v>2.17</v>
      </c>
      <c r="AG13" s="3">
        <f>ROUND(U13*(1-(Exhaust!$B$4+$AD13)),2)</f>
        <v>2.29</v>
      </c>
      <c r="AH13" s="4">
        <f>ROUND($AE13*(SUMIFS(PrefFlows!$C:$C,PrefFlows!$A:$A,$S$1,PrefFlows!$B:$B,$B13)+$AC13)+$AF13*(SUMIFS(PrefFlows!$C:$C,PrefFlows!$A:$A,$T$1,PrefFlows!$B:$B,$B13)+$AC13)+$AG13*(SUMIFS(PrefFlows!$C:$C,PrefFlows!$A:$A,$U$1,PrefFlows!$B:$B,$B13)+$AC13),2)</f>
        <v>1.6</v>
      </c>
      <c r="AI13" s="3">
        <f>ROUND($AE13*(1-(SUMIFS(PrefFlows!$C:$C,PrefFlows!$A:$A,$S$1,PrefFlows!$B:$B,$B13)+$AC13))+$AF13*(1-(SUMIFS(PrefFlows!$C:$C,PrefFlows!$A:$A,$T$1,PrefFlows!$B:$B,$B13)+$AC13))+$AG13*(1-(SUMIFS(PrefFlows!$C:$C,PrefFlows!$A:$A,$U$1,PrefFlows!$B:$B,$B13)+$AC13)),2)</f>
        <v>2.86</v>
      </c>
      <c r="AJ13" s="4">
        <f t="shared" si="16"/>
        <v>43.79</v>
      </c>
      <c r="AK13" s="3">
        <f t="shared" si="17"/>
        <v>51.69</v>
      </c>
      <c r="AL13" s="4">
        <f t="shared" si="18"/>
        <v>45.86</v>
      </c>
      <c r="AM13" s="3">
        <f t="shared" si="18"/>
        <v>54.14</v>
      </c>
      <c r="AN13" s="1">
        <f t="shared" si="0"/>
        <v>-4.4800000000000004</v>
      </c>
      <c r="AO13" s="1">
        <f t="shared" si="1"/>
        <v>-4.0999999999999996</v>
      </c>
      <c r="AP13" s="3">
        <f t="shared" si="2"/>
        <v>-4.1399999999999997</v>
      </c>
      <c r="AQ13" s="1" t="b">
        <f t="shared" si="19"/>
        <v>0</v>
      </c>
      <c r="AR13" s="1" t="b">
        <f t="shared" si="19"/>
        <v>0</v>
      </c>
      <c r="AS13" s="3" t="b">
        <f t="shared" si="20"/>
        <v>0</v>
      </c>
      <c r="AT13" s="1">
        <f t="shared" si="21"/>
        <v>0.38000000000000078</v>
      </c>
      <c r="AU13" s="1">
        <f t="shared" si="21"/>
        <v>0.34000000000000075</v>
      </c>
      <c r="AV13" s="3">
        <f t="shared" si="22"/>
        <v>4.0000000000000036E-2</v>
      </c>
      <c r="AW13" s="1">
        <f>ROUND(IF($B13="NSW",N13*Meta!$B$6,N13),1)</f>
        <v>3352</v>
      </c>
      <c r="AX13" s="3">
        <f t="shared" si="3"/>
        <v>80645</v>
      </c>
    </row>
    <row r="14" spans="1:50" x14ac:dyDescent="0.55000000000000004">
      <c r="A14" s="2" t="s">
        <v>23</v>
      </c>
      <c r="B14" s="3" t="s">
        <v>12</v>
      </c>
      <c r="C14" s="4">
        <v>61.32</v>
      </c>
      <c r="D14" s="5">
        <v>24.1</v>
      </c>
      <c r="E14" s="5">
        <v>0</v>
      </c>
      <c r="F14" s="5">
        <v>1.53</v>
      </c>
      <c r="G14" s="5">
        <v>1.55</v>
      </c>
      <c r="H14" s="5">
        <v>6.46</v>
      </c>
      <c r="I14" s="5">
        <v>6.59</v>
      </c>
      <c r="J14" s="3">
        <f t="shared" si="4"/>
        <v>6.57</v>
      </c>
      <c r="K14" s="4">
        <v>31.63</v>
      </c>
      <c r="L14" s="3">
        <v>68.37</v>
      </c>
      <c r="M14" s="4">
        <v>85582</v>
      </c>
      <c r="N14" s="5">
        <v>8126</v>
      </c>
      <c r="O14" s="3">
        <f t="shared" si="5"/>
        <v>77456</v>
      </c>
      <c r="P14" s="5">
        <f t="shared" si="6"/>
        <v>9.494987263676942E-2</v>
      </c>
      <c r="Q14" s="4">
        <f>ROUND($C14+MIN($D14:$E14)*(1-SUMIFS(PrefFlows!$C:$C,PrefFlows!$A:$A,INDEX($D$1:$E$1,MATCH(MIN($D14:$E14),$D14:$E14,0)),PrefFlows!$B:$B,$B14)),2)</f>
        <v>61.32</v>
      </c>
      <c r="R14" s="5">
        <f>ROUND(MAX($D14:$E14)+MIN($D14:$E14)*SUMIFS(PrefFlows!$C:$C,PrefFlows!$A:$A,INDEX($D$1:$E$1,MATCH(MIN($D14:$E14),$D14:$E14,0)),PrefFlows!$B:$B,$B14),2)</f>
        <v>24.1</v>
      </c>
      <c r="S14" s="5">
        <f t="shared" si="7"/>
        <v>1.55</v>
      </c>
      <c r="T14" s="5">
        <f t="shared" si="8"/>
        <v>6.46</v>
      </c>
      <c r="U14" s="3">
        <f t="shared" si="9"/>
        <v>6.57</v>
      </c>
      <c r="V14" s="6">
        <f t="shared" si="10"/>
        <v>-37.22</v>
      </c>
      <c r="W14" s="4">
        <f>ROUND($S14*SUMIFS(PrefFlows!$C:$C,PrefFlows!$A:$A,$S$1,PrefFlows!$B:$B,$B14)+$T14*SUMIFS(PrefFlows!$C:$C,PrefFlows!$A:$A,$T$1,PrefFlows!$B:$B,$B14)+$U14*SUMIFS(PrefFlows!$C:$C,PrefFlows!$A:$A,$U$1,PrefFlows!$B:$B,$B14),2)</f>
        <v>5.62</v>
      </c>
      <c r="X14" s="3">
        <f>ROUND($S14*(1-SUMIFS(PrefFlows!$C:$C,PrefFlows!$A:$A,$S$1,PrefFlows!$B:$B,$B14))+$T14*(1-SUMIFS(PrefFlows!$C:$C,PrefFlows!$A:$A,$T$1,PrefFlows!$B:$B,$B14))+$U14*(1-SUMIFS(PrefFlows!$C:$C,PrefFlows!$A:$A,$U$1,PrefFlows!$B:$B,$B14)),2)</f>
        <v>8.9600000000000009</v>
      </c>
      <c r="Y14" s="4">
        <f t="shared" si="11"/>
        <v>7.53</v>
      </c>
      <c r="Z14" s="3">
        <f t="shared" si="12"/>
        <v>7.05</v>
      </c>
      <c r="AA14" s="4">
        <f t="shared" si="13"/>
        <v>0.38550000000000001</v>
      </c>
      <c r="AB14" s="5">
        <f t="shared" si="14"/>
        <v>0.51649999999999996</v>
      </c>
      <c r="AC14" s="5">
        <f t="shared" si="15"/>
        <v>0.13100000000000001</v>
      </c>
      <c r="AD14" s="3">
        <v>0.107037814942527</v>
      </c>
      <c r="AE14" s="4">
        <f>ROUND(S14*(1-(Exhaust!$B$2+AD14)),2)</f>
        <v>0.52</v>
      </c>
      <c r="AF14" s="5">
        <f>ROUND(T14*(1-(Exhaust!$B$3+$AD14)),2)</f>
        <v>3.18</v>
      </c>
      <c r="AG14" s="3">
        <f>ROUND(U14*(1-(Exhaust!$B$4+$AD14)),2)</f>
        <v>2.58</v>
      </c>
      <c r="AH14" s="4">
        <f>ROUND($AE14*(SUMIFS(PrefFlows!$C:$C,PrefFlows!$A:$A,$S$1,PrefFlows!$B:$B,$B14)+$AC14)+$AF14*(SUMIFS(PrefFlows!$C:$C,PrefFlows!$A:$A,$T$1,PrefFlows!$B:$B,$B14)+$AC14)+$AG14*(SUMIFS(PrefFlows!$C:$C,PrefFlows!$A:$A,$U$1,PrefFlows!$B:$B,$B14)+$AC14),2)</f>
        <v>3.1</v>
      </c>
      <c r="AI14" s="3">
        <f>ROUND($AE14*(1-(SUMIFS(PrefFlows!$C:$C,PrefFlows!$A:$A,$S$1,PrefFlows!$B:$B,$B14)+$AC14))+$AF14*(1-(SUMIFS(PrefFlows!$C:$C,PrefFlows!$A:$A,$T$1,PrefFlows!$B:$B,$B14)+$AC14))+$AG14*(1-(SUMIFS(PrefFlows!$C:$C,PrefFlows!$A:$A,$U$1,PrefFlows!$B:$B,$B14)+$AC14)),2)</f>
        <v>3.18</v>
      </c>
      <c r="AJ14" s="4">
        <f t="shared" si="16"/>
        <v>27.2</v>
      </c>
      <c r="AK14" s="3">
        <f t="shared" si="17"/>
        <v>64.5</v>
      </c>
      <c r="AL14" s="4">
        <f t="shared" si="18"/>
        <v>29.66</v>
      </c>
      <c r="AM14" s="3">
        <f t="shared" si="18"/>
        <v>70.34</v>
      </c>
      <c r="AN14" s="1">
        <f t="shared" si="0"/>
        <v>-18.37</v>
      </c>
      <c r="AO14" s="1">
        <f t="shared" si="1"/>
        <v>-19.88</v>
      </c>
      <c r="AP14" s="3">
        <f t="shared" si="2"/>
        <v>-20.34</v>
      </c>
      <c r="AQ14" s="1" t="b">
        <f t="shared" si="19"/>
        <v>0</v>
      </c>
      <c r="AR14" s="1" t="b">
        <f t="shared" si="19"/>
        <v>0</v>
      </c>
      <c r="AS14" s="3" t="b">
        <f t="shared" si="20"/>
        <v>0</v>
      </c>
      <c r="AT14" s="1">
        <f t="shared" si="21"/>
        <v>-1.509999999999998</v>
      </c>
      <c r="AU14" s="1">
        <f t="shared" si="21"/>
        <v>-1.9699999999999989</v>
      </c>
      <c r="AV14" s="3">
        <f t="shared" si="22"/>
        <v>0.46000000000000085</v>
      </c>
      <c r="AW14" s="1">
        <f>ROUND(IF($B14="NSW",N14*Meta!$B$6,N14),1)</f>
        <v>5338.8</v>
      </c>
      <c r="AX14" s="3">
        <f t="shared" si="3"/>
        <v>75311.8</v>
      </c>
    </row>
    <row r="15" spans="1:50" x14ac:dyDescent="0.55000000000000004">
      <c r="A15" s="2" t="s">
        <v>24</v>
      </c>
      <c r="B15" s="3" t="s">
        <v>22</v>
      </c>
      <c r="C15" s="4">
        <v>48.8</v>
      </c>
      <c r="D15" s="5">
        <v>41.91</v>
      </c>
      <c r="E15" s="5">
        <v>0</v>
      </c>
      <c r="F15" s="5">
        <v>1.93</v>
      </c>
      <c r="G15" s="5">
        <v>0</v>
      </c>
      <c r="H15" s="5">
        <v>4.9000000000000004</v>
      </c>
      <c r="I15" s="5">
        <v>2.46</v>
      </c>
      <c r="J15" s="3">
        <f t="shared" si="4"/>
        <v>4.3899999999999997</v>
      </c>
      <c r="K15" s="4">
        <v>45.47</v>
      </c>
      <c r="L15" s="3">
        <v>54.53</v>
      </c>
      <c r="M15" s="4">
        <v>86138</v>
      </c>
      <c r="N15" s="5">
        <v>2558</v>
      </c>
      <c r="O15" s="3">
        <f t="shared" si="5"/>
        <v>83580</v>
      </c>
      <c r="P15" s="5">
        <f t="shared" si="6"/>
        <v>2.9696533469548862E-2</v>
      </c>
      <c r="Q15" s="4">
        <f>ROUND($C15+MIN($D15:$E15)*(1-SUMIFS(PrefFlows!$C:$C,PrefFlows!$A:$A,INDEX($D$1:$E$1,MATCH(MIN($D15:$E15),$D15:$E15,0)),PrefFlows!$B:$B,$B15)),2)</f>
        <v>48.8</v>
      </c>
      <c r="R15" s="5">
        <f>ROUND(MAX($D15:$E15)+MIN($D15:$E15)*SUMIFS(PrefFlows!$C:$C,PrefFlows!$A:$A,INDEX($D$1:$E$1,MATCH(MIN($D15:$E15),$D15:$E15,0)),PrefFlows!$B:$B,$B15),2)</f>
        <v>41.91</v>
      </c>
      <c r="S15" s="5">
        <f t="shared" si="7"/>
        <v>0</v>
      </c>
      <c r="T15" s="5">
        <f t="shared" si="8"/>
        <v>4.9000000000000004</v>
      </c>
      <c r="U15" s="3">
        <f t="shared" si="9"/>
        <v>4.3899999999999997</v>
      </c>
      <c r="V15" s="6">
        <f t="shared" si="10"/>
        <v>-6.89</v>
      </c>
      <c r="W15" s="4">
        <f>ROUND($S15*SUMIFS(PrefFlows!$C:$C,PrefFlows!$A:$A,$S$1,PrefFlows!$B:$B,$B15)+$T15*SUMIFS(PrefFlows!$C:$C,PrefFlows!$A:$A,$T$1,PrefFlows!$B:$B,$B15)+$U15*SUMIFS(PrefFlows!$C:$C,PrefFlows!$A:$A,$U$1,PrefFlows!$B:$B,$B15),2)</f>
        <v>3.44</v>
      </c>
      <c r="X15" s="3">
        <f>ROUND($S15*(1-SUMIFS(PrefFlows!$C:$C,PrefFlows!$A:$A,$S$1,PrefFlows!$B:$B,$B15))+$T15*(1-SUMIFS(PrefFlows!$C:$C,PrefFlows!$A:$A,$T$1,PrefFlows!$B:$B,$B15))+$U15*(1-SUMIFS(PrefFlows!$C:$C,PrefFlows!$A:$A,$U$1,PrefFlows!$B:$B,$B15)),2)</f>
        <v>5.85</v>
      </c>
      <c r="Y15" s="4">
        <f t="shared" si="11"/>
        <v>3.56</v>
      </c>
      <c r="Z15" s="3">
        <f t="shared" si="12"/>
        <v>5.73</v>
      </c>
      <c r="AA15" s="4">
        <f t="shared" si="13"/>
        <v>0.37030000000000002</v>
      </c>
      <c r="AB15" s="5">
        <f t="shared" si="14"/>
        <v>0.38319999999999999</v>
      </c>
      <c r="AC15" s="5">
        <f t="shared" si="15"/>
        <v>1.29E-2</v>
      </c>
      <c r="AD15" s="3">
        <v>4.4401461809243604E-3</v>
      </c>
      <c r="AE15" s="4">
        <f>ROUND(S15*(1-(Exhaust!$B$2+AD15)),2)</f>
        <v>0</v>
      </c>
      <c r="AF15" s="5">
        <f>ROUND(T15*(1-(Exhaust!$B$3+$AD15)),2)</f>
        <v>2.92</v>
      </c>
      <c r="AG15" s="3">
        <f>ROUND(U15*(1-(Exhaust!$B$4+$AD15)),2)</f>
        <v>2.1800000000000002</v>
      </c>
      <c r="AH15" s="4">
        <f>ROUND($AE15*(SUMIFS(PrefFlows!$C:$C,PrefFlows!$A:$A,$S$1,PrefFlows!$B:$B,$B15)+$AC15)+$AF15*(SUMIFS(PrefFlows!$C:$C,PrefFlows!$A:$A,$T$1,PrefFlows!$B:$B,$B15)+$AC15)+$AG15*(SUMIFS(PrefFlows!$C:$C,PrefFlows!$A:$A,$U$1,PrefFlows!$B:$B,$B15)+$AC15),2)</f>
        <v>1.89</v>
      </c>
      <c r="AI15" s="3">
        <f>ROUND($AE15*(1-(SUMIFS(PrefFlows!$C:$C,PrefFlows!$A:$A,$S$1,PrefFlows!$B:$B,$B15)+$AC15))+$AF15*(1-(SUMIFS(PrefFlows!$C:$C,PrefFlows!$A:$A,$T$1,PrefFlows!$B:$B,$B15)+$AC15))+$AG15*(1-(SUMIFS(PrefFlows!$C:$C,PrefFlows!$A:$A,$U$1,PrefFlows!$B:$B,$B15)+$AC15)),2)</f>
        <v>3.21</v>
      </c>
      <c r="AJ15" s="4">
        <f t="shared" si="16"/>
        <v>43.8</v>
      </c>
      <c r="AK15" s="3">
        <f t="shared" si="17"/>
        <v>52.01</v>
      </c>
      <c r="AL15" s="4">
        <f t="shared" si="18"/>
        <v>45.72</v>
      </c>
      <c r="AM15" s="3">
        <f t="shared" si="18"/>
        <v>54.28</v>
      </c>
      <c r="AN15" s="1">
        <f t="shared" si="0"/>
        <v>-4.53</v>
      </c>
      <c r="AO15" s="1">
        <f t="shared" si="1"/>
        <v>-4.2</v>
      </c>
      <c r="AP15" s="3">
        <f t="shared" si="2"/>
        <v>-4.28</v>
      </c>
      <c r="AQ15" s="1" t="b">
        <f t="shared" si="19"/>
        <v>0</v>
      </c>
      <c r="AR15" s="1" t="b">
        <f t="shared" si="19"/>
        <v>0</v>
      </c>
      <c r="AS15" s="3" t="b">
        <f t="shared" si="20"/>
        <v>0</v>
      </c>
      <c r="AT15" s="1">
        <f t="shared" si="21"/>
        <v>0.33000000000000007</v>
      </c>
      <c r="AU15" s="1">
        <f t="shared" si="21"/>
        <v>0.25</v>
      </c>
      <c r="AV15" s="3">
        <f t="shared" si="22"/>
        <v>8.0000000000000071E-2</v>
      </c>
      <c r="AW15" s="1">
        <f>ROUND(IF($B15="NSW",N15*Meta!$B$6,N15),1)</f>
        <v>2558</v>
      </c>
      <c r="AX15" s="3">
        <f t="shared" si="3"/>
        <v>80943.399999999994</v>
      </c>
    </row>
    <row r="16" spans="1:50" x14ac:dyDescent="0.55000000000000004">
      <c r="A16" s="2" t="s">
        <v>25</v>
      </c>
      <c r="B16" s="3" t="s">
        <v>7</v>
      </c>
      <c r="C16" s="4">
        <v>34.119999999999997</v>
      </c>
      <c r="D16" s="5">
        <v>46.25</v>
      </c>
      <c r="E16" s="5">
        <v>0</v>
      </c>
      <c r="F16" s="5">
        <v>2.44</v>
      </c>
      <c r="G16" s="5">
        <v>0.35</v>
      </c>
      <c r="H16" s="5">
        <v>10.220000000000001</v>
      </c>
      <c r="I16" s="5">
        <v>6.97</v>
      </c>
      <c r="J16" s="3">
        <f t="shared" si="4"/>
        <v>9.06</v>
      </c>
      <c r="K16" s="4">
        <v>52.93</v>
      </c>
      <c r="L16" s="3">
        <v>47.07</v>
      </c>
      <c r="M16" s="4">
        <v>92036</v>
      </c>
      <c r="N16" s="5">
        <v>2639</v>
      </c>
      <c r="O16" s="3">
        <f t="shared" si="5"/>
        <v>89397</v>
      </c>
      <c r="P16" s="5">
        <f t="shared" si="6"/>
        <v>2.86735625190143E-2</v>
      </c>
      <c r="Q16" s="4">
        <f>ROUND($C16+MIN($D16:$E16)*(1-SUMIFS(PrefFlows!$C:$C,PrefFlows!$A:$A,INDEX($D$1:$E$1,MATCH(MIN($D16:$E16),$D16:$E16,0)),PrefFlows!$B:$B,$B16)),2)</f>
        <v>34.119999999999997</v>
      </c>
      <c r="R16" s="5">
        <f>ROUND(MAX($D16:$E16)+MIN($D16:$E16)*SUMIFS(PrefFlows!$C:$C,PrefFlows!$A:$A,INDEX($D$1:$E$1,MATCH(MIN($D16:$E16),$D16:$E16,0)),PrefFlows!$B:$B,$B16),2)</f>
        <v>46.25</v>
      </c>
      <c r="S16" s="5">
        <f t="shared" si="7"/>
        <v>0.35</v>
      </c>
      <c r="T16" s="5">
        <f t="shared" si="8"/>
        <v>10.220000000000001</v>
      </c>
      <c r="U16" s="3">
        <f t="shared" si="9"/>
        <v>9.06</v>
      </c>
      <c r="V16" s="6">
        <f t="shared" si="10"/>
        <v>12.13</v>
      </c>
      <c r="W16" s="4">
        <f>ROUND($S16*SUMIFS(PrefFlows!$C:$C,PrefFlows!$A:$A,$S$1,PrefFlows!$B:$B,$B16)+$T16*SUMIFS(PrefFlows!$C:$C,PrefFlows!$A:$A,$T$1,PrefFlows!$B:$B,$B16)+$U16*SUMIFS(PrefFlows!$C:$C,PrefFlows!$A:$A,$U$1,PrefFlows!$B:$B,$B16),2)</f>
        <v>7.18</v>
      </c>
      <c r="X16" s="3">
        <f>ROUND($S16*(1-SUMIFS(PrefFlows!$C:$C,PrefFlows!$A:$A,$S$1,PrefFlows!$B:$B,$B16))+$T16*(1-SUMIFS(PrefFlows!$C:$C,PrefFlows!$A:$A,$T$1,PrefFlows!$B:$B,$B16))+$U16*(1-SUMIFS(PrefFlows!$C:$C,PrefFlows!$A:$A,$U$1,PrefFlows!$B:$B,$B16)),2)</f>
        <v>12.45</v>
      </c>
      <c r="Y16" s="4">
        <f t="shared" si="11"/>
        <v>6.68</v>
      </c>
      <c r="Z16" s="3">
        <f t="shared" si="12"/>
        <v>12.95</v>
      </c>
      <c r="AA16" s="4">
        <f t="shared" si="13"/>
        <v>0.36580000000000001</v>
      </c>
      <c r="AB16" s="5">
        <f t="shared" si="14"/>
        <v>0.34029999999999999</v>
      </c>
      <c r="AC16" s="5">
        <f t="shared" si="15"/>
        <v>-2.5499999999999998E-2</v>
      </c>
      <c r="AD16" s="3">
        <v>-6.1186568548308597E-2</v>
      </c>
      <c r="AE16" s="4">
        <f>ROUND(S16*(1-(Exhaust!$B$2+AD16)),2)</f>
        <v>0.18</v>
      </c>
      <c r="AF16" s="5">
        <f>ROUND(T16*(1-(Exhaust!$B$3+$AD16)),2)</f>
        <v>6.76</v>
      </c>
      <c r="AG16" s="3">
        <f>ROUND(U16*(1-(Exhaust!$B$4+$AD16)),2)</f>
        <v>5.08</v>
      </c>
      <c r="AH16" s="4">
        <f>ROUND($AE16*(SUMIFS(PrefFlows!$C:$C,PrefFlows!$A:$A,$S$1,PrefFlows!$B:$B,$B16)+$AC16)+$AF16*(SUMIFS(PrefFlows!$C:$C,PrefFlows!$A:$A,$T$1,PrefFlows!$B:$B,$B16)+$AC16)+$AG16*(SUMIFS(PrefFlows!$C:$C,PrefFlows!$A:$A,$U$1,PrefFlows!$B:$B,$B16)+$AC16),2)</f>
        <v>3.95</v>
      </c>
      <c r="AI16" s="3">
        <f>ROUND($AE16*(1-(SUMIFS(PrefFlows!$C:$C,PrefFlows!$A:$A,$S$1,PrefFlows!$B:$B,$B16)+$AC16))+$AF16*(1-(SUMIFS(PrefFlows!$C:$C,PrefFlows!$A:$A,$T$1,PrefFlows!$B:$B,$B16)+$AC16))+$AG16*(1-(SUMIFS(PrefFlows!$C:$C,PrefFlows!$A:$A,$U$1,PrefFlows!$B:$B,$B16)+$AC16)),2)</f>
        <v>8.07</v>
      </c>
      <c r="AJ16" s="4">
        <f t="shared" si="16"/>
        <v>50.2</v>
      </c>
      <c r="AK16" s="3">
        <f t="shared" si="17"/>
        <v>42.19</v>
      </c>
      <c r="AL16" s="4">
        <f t="shared" si="18"/>
        <v>54.33</v>
      </c>
      <c r="AM16" s="3">
        <f t="shared" si="18"/>
        <v>45.67</v>
      </c>
      <c r="AN16" s="1">
        <f t="shared" si="0"/>
        <v>2.93</v>
      </c>
      <c r="AO16" s="1">
        <f t="shared" si="1"/>
        <v>4.9000000000000004</v>
      </c>
      <c r="AP16" s="3">
        <f t="shared" si="2"/>
        <v>4.33</v>
      </c>
      <c r="AQ16" s="1" t="b">
        <f t="shared" si="19"/>
        <v>0</v>
      </c>
      <c r="AR16" s="1" t="b">
        <f t="shared" si="19"/>
        <v>0</v>
      </c>
      <c r="AS16" s="3" t="b">
        <f t="shared" si="20"/>
        <v>0</v>
      </c>
      <c r="AT16" s="1">
        <f t="shared" si="21"/>
        <v>1.9700000000000002</v>
      </c>
      <c r="AU16" s="1">
        <f t="shared" si="21"/>
        <v>1.4</v>
      </c>
      <c r="AV16" s="3">
        <f t="shared" si="22"/>
        <v>0.57000000000000028</v>
      </c>
      <c r="AW16" s="1">
        <f>ROUND(IF($B16="NSW",N16*Meta!$B$6,N16),1)</f>
        <v>2639</v>
      </c>
      <c r="AX16" s="3">
        <f t="shared" si="3"/>
        <v>83454.899999999994</v>
      </c>
    </row>
    <row r="17" spans="1:50" x14ac:dyDescent="0.55000000000000004">
      <c r="A17" s="2" t="s">
        <v>26</v>
      </c>
      <c r="B17" s="3" t="s">
        <v>22</v>
      </c>
      <c r="C17" s="4">
        <v>44.11</v>
      </c>
      <c r="D17" s="5">
        <v>46.16</v>
      </c>
      <c r="E17" s="5">
        <v>0</v>
      </c>
      <c r="F17" s="5">
        <v>2.93</v>
      </c>
      <c r="G17" s="5">
        <v>0.53</v>
      </c>
      <c r="H17" s="5">
        <v>5.45</v>
      </c>
      <c r="I17" s="5">
        <v>1.35</v>
      </c>
      <c r="J17" s="3">
        <f t="shared" si="4"/>
        <v>3.75</v>
      </c>
      <c r="K17" s="4">
        <v>50.04</v>
      </c>
      <c r="L17" s="3">
        <v>49.96</v>
      </c>
      <c r="M17" s="4">
        <v>84955</v>
      </c>
      <c r="N17" s="5">
        <v>2873</v>
      </c>
      <c r="O17" s="3">
        <f t="shared" si="5"/>
        <v>82082</v>
      </c>
      <c r="P17" s="5">
        <f t="shared" si="6"/>
        <v>3.3817903596021423E-2</v>
      </c>
      <c r="Q17" s="4">
        <f>ROUND($C17+MIN($D17:$E17)*(1-SUMIFS(PrefFlows!$C:$C,PrefFlows!$A:$A,INDEX($D$1:$E$1,MATCH(MIN($D17:$E17),$D17:$E17,0)),PrefFlows!$B:$B,$B17)),2)</f>
        <v>44.11</v>
      </c>
      <c r="R17" s="5">
        <f>ROUND(MAX($D17:$E17)+MIN($D17:$E17)*SUMIFS(PrefFlows!$C:$C,PrefFlows!$A:$A,INDEX($D$1:$E$1,MATCH(MIN($D17:$E17),$D17:$E17,0)),PrefFlows!$B:$B,$B17),2)</f>
        <v>46.16</v>
      </c>
      <c r="S17" s="5">
        <f t="shared" si="7"/>
        <v>0.53</v>
      </c>
      <c r="T17" s="5">
        <f t="shared" si="8"/>
        <v>5.45</v>
      </c>
      <c r="U17" s="3">
        <f t="shared" si="9"/>
        <v>3.75</v>
      </c>
      <c r="V17" s="6">
        <f t="shared" si="10"/>
        <v>2.0499999999999998</v>
      </c>
      <c r="W17" s="4">
        <f>ROUND($S17*SUMIFS(PrefFlows!$C:$C,PrefFlows!$A:$A,$S$1,PrefFlows!$B:$B,$B17)+$T17*SUMIFS(PrefFlows!$C:$C,PrefFlows!$A:$A,$T$1,PrefFlows!$B:$B,$B17)+$U17*SUMIFS(PrefFlows!$C:$C,PrefFlows!$A:$A,$U$1,PrefFlows!$B:$B,$B17),2)</f>
        <v>3.54</v>
      </c>
      <c r="X17" s="3">
        <f>ROUND($S17*(1-SUMIFS(PrefFlows!$C:$C,PrefFlows!$A:$A,$S$1,PrefFlows!$B:$B,$B17))+$T17*(1-SUMIFS(PrefFlows!$C:$C,PrefFlows!$A:$A,$T$1,PrefFlows!$B:$B,$B17))+$U17*(1-SUMIFS(PrefFlows!$C:$C,PrefFlows!$A:$A,$U$1,PrefFlows!$B:$B,$B17)),2)</f>
        <v>6.19</v>
      </c>
      <c r="Y17" s="4">
        <f t="shared" si="11"/>
        <v>3.88</v>
      </c>
      <c r="Z17" s="3">
        <f t="shared" si="12"/>
        <v>5.85</v>
      </c>
      <c r="AA17" s="4">
        <f t="shared" si="13"/>
        <v>0.36380000000000001</v>
      </c>
      <c r="AB17" s="5">
        <f t="shared" si="14"/>
        <v>0.39879999999999999</v>
      </c>
      <c r="AC17" s="5">
        <f t="shared" si="15"/>
        <v>3.5000000000000003E-2</v>
      </c>
      <c r="AD17" s="3">
        <v>6.3023275688314798E-2</v>
      </c>
      <c r="AE17" s="4">
        <f>ROUND(S17*(1-(Exhaust!$B$2+AD17)),2)</f>
        <v>0.2</v>
      </c>
      <c r="AF17" s="5">
        <f>ROUND(T17*(1-(Exhaust!$B$3+$AD17)),2)</f>
        <v>2.93</v>
      </c>
      <c r="AG17" s="3">
        <f>ROUND(U17*(1-(Exhaust!$B$4+$AD17)),2)</f>
        <v>1.64</v>
      </c>
      <c r="AH17" s="4">
        <f>ROUND($AE17*(SUMIFS(PrefFlows!$C:$C,PrefFlows!$A:$A,$S$1,PrefFlows!$B:$B,$B17)+$AC17)+$AF17*(SUMIFS(PrefFlows!$C:$C,PrefFlows!$A:$A,$T$1,PrefFlows!$B:$B,$B17)+$AC17)+$AG17*(SUMIFS(PrefFlows!$C:$C,PrefFlows!$A:$A,$U$1,PrefFlows!$B:$B,$B17)+$AC17),2)</f>
        <v>1.83</v>
      </c>
      <c r="AI17" s="3">
        <f>ROUND($AE17*(1-(SUMIFS(PrefFlows!$C:$C,PrefFlows!$A:$A,$S$1,PrefFlows!$B:$B,$B17)+$AC17))+$AF17*(1-(SUMIFS(PrefFlows!$C:$C,PrefFlows!$A:$A,$T$1,PrefFlows!$B:$B,$B17)+$AC17))+$AG17*(1-(SUMIFS(PrefFlows!$C:$C,PrefFlows!$A:$A,$U$1,PrefFlows!$B:$B,$B17)+$AC17)),2)</f>
        <v>2.94</v>
      </c>
      <c r="AJ17" s="4">
        <f t="shared" si="16"/>
        <v>47.99</v>
      </c>
      <c r="AK17" s="3">
        <f t="shared" si="17"/>
        <v>47.05</v>
      </c>
      <c r="AL17" s="4">
        <f t="shared" si="18"/>
        <v>50.49</v>
      </c>
      <c r="AM17" s="3">
        <f t="shared" si="18"/>
        <v>49.51</v>
      </c>
      <c r="AN17" s="1">
        <f t="shared" si="0"/>
        <v>0.04</v>
      </c>
      <c r="AO17" s="1">
        <f t="shared" si="1"/>
        <v>0.54</v>
      </c>
      <c r="AP17" s="3">
        <f t="shared" si="2"/>
        <v>0.49</v>
      </c>
      <c r="AQ17" s="1" t="b">
        <f t="shared" si="19"/>
        <v>0</v>
      </c>
      <c r="AR17" s="1" t="b">
        <f t="shared" si="19"/>
        <v>0</v>
      </c>
      <c r="AS17" s="3" t="b">
        <f t="shared" si="20"/>
        <v>0</v>
      </c>
      <c r="AT17" s="1">
        <f t="shared" si="21"/>
        <v>0.5</v>
      </c>
      <c r="AU17" s="1">
        <f t="shared" si="21"/>
        <v>0.45</v>
      </c>
      <c r="AV17" s="3">
        <f t="shared" si="22"/>
        <v>5.0000000000000044E-2</v>
      </c>
      <c r="AW17" s="1">
        <f>ROUND(IF($B17="NSW",N17*Meta!$B$6,N17),1)</f>
        <v>2873</v>
      </c>
      <c r="AX17" s="3">
        <f t="shared" si="3"/>
        <v>78974.899999999994</v>
      </c>
    </row>
    <row r="18" spans="1:50" x14ac:dyDescent="0.55000000000000004">
      <c r="A18" s="2" t="s">
        <v>27</v>
      </c>
      <c r="B18" s="3" t="s">
        <v>16</v>
      </c>
      <c r="C18" s="4">
        <v>43.69</v>
      </c>
      <c r="D18" s="5">
        <v>44</v>
      </c>
      <c r="E18" s="5">
        <v>0</v>
      </c>
      <c r="F18" s="5">
        <v>3.22</v>
      </c>
      <c r="G18" s="5">
        <v>0</v>
      </c>
      <c r="H18" s="5">
        <v>8.14</v>
      </c>
      <c r="I18" s="5">
        <v>0.95</v>
      </c>
      <c r="J18" s="3">
        <f t="shared" si="4"/>
        <v>4.17</v>
      </c>
      <c r="K18" s="4">
        <v>48.56</v>
      </c>
      <c r="L18" s="3">
        <v>51.44</v>
      </c>
      <c r="M18" s="4">
        <v>68377</v>
      </c>
      <c r="N18" s="5">
        <v>2116</v>
      </c>
      <c r="O18" s="3">
        <f t="shared" si="5"/>
        <v>66261</v>
      </c>
      <c r="P18" s="5">
        <f t="shared" si="6"/>
        <v>3.0946078359682348E-2</v>
      </c>
      <c r="Q18" s="4">
        <f>ROUND($C18+MIN($D18:$E18)*(1-SUMIFS(PrefFlows!$C:$C,PrefFlows!$A:$A,INDEX($D$1:$E$1,MATCH(MIN($D18:$E18),$D18:$E18,0)),PrefFlows!$B:$B,$B18)),2)</f>
        <v>43.69</v>
      </c>
      <c r="R18" s="5">
        <f>ROUND(MAX($D18:$E18)+MIN($D18:$E18)*SUMIFS(PrefFlows!$C:$C,PrefFlows!$A:$A,INDEX($D$1:$E$1,MATCH(MIN($D18:$E18),$D18:$E18,0)),PrefFlows!$B:$B,$B18),2)</f>
        <v>44</v>
      </c>
      <c r="S18" s="5">
        <f t="shared" si="7"/>
        <v>0</v>
      </c>
      <c r="T18" s="5">
        <f t="shared" si="8"/>
        <v>8.14</v>
      </c>
      <c r="U18" s="3">
        <f t="shared" si="9"/>
        <v>4.17</v>
      </c>
      <c r="V18" s="6">
        <f t="shared" si="10"/>
        <v>0.31</v>
      </c>
      <c r="W18" s="4">
        <f>ROUND($S18*SUMIFS(PrefFlows!$C:$C,PrefFlows!$A:$A,$S$1,PrefFlows!$B:$B,$B18)+$T18*SUMIFS(PrefFlows!$C:$C,PrefFlows!$A:$A,$T$1,PrefFlows!$B:$B,$B18)+$U18*SUMIFS(PrefFlows!$C:$C,PrefFlows!$A:$A,$U$1,PrefFlows!$B:$B,$B18),2)</f>
        <v>4.0599999999999996</v>
      </c>
      <c r="X18" s="3">
        <f>ROUND($S18*(1-SUMIFS(PrefFlows!$C:$C,PrefFlows!$A:$A,$S$1,PrefFlows!$B:$B,$B18))+$T18*(1-SUMIFS(PrefFlows!$C:$C,PrefFlows!$A:$A,$T$1,PrefFlows!$B:$B,$B18))+$U18*(1-SUMIFS(PrefFlows!$C:$C,PrefFlows!$A:$A,$U$1,PrefFlows!$B:$B,$B18)),2)</f>
        <v>8.25</v>
      </c>
      <c r="Y18" s="4">
        <f t="shared" si="11"/>
        <v>4.5599999999999996</v>
      </c>
      <c r="Z18" s="3">
        <f t="shared" si="12"/>
        <v>7.75</v>
      </c>
      <c r="AA18" s="4">
        <f t="shared" si="13"/>
        <v>0.32979999999999998</v>
      </c>
      <c r="AB18" s="5">
        <f t="shared" si="14"/>
        <v>0.37040000000000001</v>
      </c>
      <c r="AC18" s="5">
        <f t="shared" si="15"/>
        <v>4.0599999999999997E-2</v>
      </c>
      <c r="AD18" s="3">
        <v>4.2112244459913899E-2</v>
      </c>
      <c r="AE18" s="4">
        <f>ROUND(S18*(1-(Exhaust!$B$2+AD18)),2)</f>
        <v>0</v>
      </c>
      <c r="AF18" s="5">
        <f>ROUND(T18*(1-(Exhaust!$B$3+$AD18)),2)</f>
        <v>4.54</v>
      </c>
      <c r="AG18" s="3">
        <f>ROUND(U18*(1-(Exhaust!$B$4+$AD18)),2)</f>
        <v>1.91</v>
      </c>
      <c r="AH18" s="4">
        <f>ROUND($AE18*(SUMIFS(PrefFlows!$C:$C,PrefFlows!$A:$A,$S$1,PrefFlows!$B:$B,$B18)+$AC18)+$AF18*(SUMIFS(PrefFlows!$C:$C,PrefFlows!$A:$A,$T$1,PrefFlows!$B:$B,$B18)+$AC18)+$AG18*(SUMIFS(PrefFlows!$C:$C,PrefFlows!$A:$A,$U$1,PrefFlows!$B:$B,$B18)+$AC18),2)</f>
        <v>2.2999999999999998</v>
      </c>
      <c r="AI18" s="3">
        <f>ROUND($AE18*(1-(SUMIFS(PrefFlows!$C:$C,PrefFlows!$A:$A,$S$1,PrefFlows!$B:$B,$B18)+$AC18))+$AF18*(1-(SUMIFS(PrefFlows!$C:$C,PrefFlows!$A:$A,$T$1,PrefFlows!$B:$B,$B18)+$AC18))+$AG18*(1-(SUMIFS(PrefFlows!$C:$C,PrefFlows!$A:$A,$U$1,PrefFlows!$B:$B,$B18)+$AC18)),2)</f>
        <v>4.1500000000000004</v>
      </c>
      <c r="AJ18" s="4">
        <f t="shared" si="16"/>
        <v>46.3</v>
      </c>
      <c r="AK18" s="3">
        <f t="shared" si="17"/>
        <v>47.84</v>
      </c>
      <c r="AL18" s="4">
        <f t="shared" si="18"/>
        <v>49.18</v>
      </c>
      <c r="AM18" s="3">
        <f t="shared" si="18"/>
        <v>50.82</v>
      </c>
      <c r="AN18" s="1">
        <f t="shared" si="0"/>
        <v>-1.44</v>
      </c>
      <c r="AO18" s="1">
        <f t="shared" si="1"/>
        <v>-0.72</v>
      </c>
      <c r="AP18" s="3">
        <f t="shared" si="2"/>
        <v>-0.82</v>
      </c>
      <c r="AQ18" s="1" t="b">
        <f t="shared" si="19"/>
        <v>0</v>
      </c>
      <c r="AR18" s="1" t="b">
        <f t="shared" si="19"/>
        <v>0</v>
      </c>
      <c r="AS18" s="3" t="b">
        <f t="shared" si="20"/>
        <v>0</v>
      </c>
      <c r="AT18" s="1">
        <f t="shared" si="21"/>
        <v>0.72</v>
      </c>
      <c r="AU18" s="1">
        <f t="shared" si="21"/>
        <v>0.62</v>
      </c>
      <c r="AV18" s="3">
        <f t="shared" si="22"/>
        <v>9.9999999999999978E-2</v>
      </c>
      <c r="AW18" s="1">
        <f>ROUND(IF($B18="NSW",N18*Meta!$B$6,N18),1)</f>
        <v>2116</v>
      </c>
      <c r="AX18" s="3">
        <f t="shared" si="3"/>
        <v>63081.5</v>
      </c>
    </row>
    <row r="19" spans="1:50" x14ac:dyDescent="0.55000000000000004">
      <c r="A19" s="2" t="s">
        <v>28</v>
      </c>
      <c r="B19" s="3" t="s">
        <v>12</v>
      </c>
      <c r="C19" s="4">
        <v>26.69</v>
      </c>
      <c r="D19" s="5">
        <v>59.07</v>
      </c>
      <c r="E19" s="5">
        <v>0</v>
      </c>
      <c r="F19" s="5">
        <v>0.9</v>
      </c>
      <c r="G19" s="5">
        <v>0</v>
      </c>
      <c r="H19" s="5">
        <v>11.26</v>
      </c>
      <c r="I19" s="5">
        <v>2.08</v>
      </c>
      <c r="J19" s="3">
        <f t="shared" si="4"/>
        <v>2.98</v>
      </c>
      <c r="K19" s="4">
        <v>63.45</v>
      </c>
      <c r="L19" s="3">
        <v>36.549999999999997</v>
      </c>
      <c r="M19" s="4">
        <v>87832</v>
      </c>
      <c r="N19" s="5">
        <v>3501</v>
      </c>
      <c r="O19" s="3">
        <f t="shared" si="5"/>
        <v>84331</v>
      </c>
      <c r="P19" s="5">
        <f t="shared" si="6"/>
        <v>3.9860187630931777E-2</v>
      </c>
      <c r="Q19" s="4">
        <f>ROUND($C19+MIN($D19:$E19)*(1-SUMIFS(PrefFlows!$C:$C,PrefFlows!$A:$A,INDEX($D$1:$E$1,MATCH(MIN($D19:$E19),$D19:$E19,0)),PrefFlows!$B:$B,$B19)),2)</f>
        <v>26.69</v>
      </c>
      <c r="R19" s="5">
        <f>ROUND(MAX($D19:$E19)+MIN($D19:$E19)*SUMIFS(PrefFlows!$C:$C,PrefFlows!$A:$A,INDEX($D$1:$E$1,MATCH(MIN($D19:$E19),$D19:$E19,0)),PrefFlows!$B:$B,$B19),2)</f>
        <v>59.07</v>
      </c>
      <c r="S19" s="5">
        <f t="shared" si="7"/>
        <v>0</v>
      </c>
      <c r="T19" s="5">
        <f t="shared" si="8"/>
        <v>11.26</v>
      </c>
      <c r="U19" s="3">
        <f t="shared" si="9"/>
        <v>2.98</v>
      </c>
      <c r="V19" s="6">
        <f t="shared" si="10"/>
        <v>32.380000000000003</v>
      </c>
      <c r="W19" s="4">
        <f>ROUND($S19*SUMIFS(PrefFlows!$C:$C,PrefFlows!$A:$A,$S$1,PrefFlows!$B:$B,$B19)+$T19*SUMIFS(PrefFlows!$C:$C,PrefFlows!$A:$A,$T$1,PrefFlows!$B:$B,$B19)+$U19*SUMIFS(PrefFlows!$C:$C,PrefFlows!$A:$A,$U$1,PrefFlows!$B:$B,$B19),2)</f>
        <v>3.74</v>
      </c>
      <c r="X19" s="3">
        <f>ROUND($S19*(1-SUMIFS(PrefFlows!$C:$C,PrefFlows!$A:$A,$S$1,PrefFlows!$B:$B,$B19))+$T19*(1-SUMIFS(PrefFlows!$C:$C,PrefFlows!$A:$A,$T$1,PrefFlows!$B:$B,$B19))+$U19*(1-SUMIFS(PrefFlows!$C:$C,PrefFlows!$A:$A,$U$1,PrefFlows!$B:$B,$B19)),2)</f>
        <v>10.5</v>
      </c>
      <c r="Y19" s="4">
        <f t="shared" si="11"/>
        <v>4.38</v>
      </c>
      <c r="Z19" s="3">
        <f t="shared" si="12"/>
        <v>9.86</v>
      </c>
      <c r="AA19" s="4">
        <f t="shared" si="13"/>
        <v>0.2626</v>
      </c>
      <c r="AB19" s="5">
        <f t="shared" si="14"/>
        <v>0.30759999999999998</v>
      </c>
      <c r="AC19" s="5">
        <f t="shared" si="15"/>
        <v>4.4999999999999998E-2</v>
      </c>
      <c r="AD19" s="3">
        <v>2.6053111640148799E-2</v>
      </c>
      <c r="AE19" s="4">
        <f>ROUND(S19*(1-(Exhaust!$B$2+AD19)),2)</f>
        <v>0</v>
      </c>
      <c r="AF19" s="5">
        <f>ROUND(T19*(1-(Exhaust!$B$3+$AD19)),2)</f>
        <v>6.46</v>
      </c>
      <c r="AG19" s="3">
        <f>ROUND(U19*(1-(Exhaust!$B$4+$AD19)),2)</f>
        <v>1.41</v>
      </c>
      <c r="AH19" s="4">
        <f>ROUND($AE19*(SUMIFS(PrefFlows!$C:$C,PrefFlows!$A:$A,$S$1,PrefFlows!$B:$B,$B19)+$AC19)+$AF19*(SUMIFS(PrefFlows!$C:$C,PrefFlows!$A:$A,$T$1,PrefFlows!$B:$B,$B19)+$AC19)+$AG19*(SUMIFS(PrefFlows!$C:$C,PrefFlows!$A:$A,$U$1,PrefFlows!$B:$B,$B19)+$AC19),2)</f>
        <v>2.34</v>
      </c>
      <c r="AI19" s="3">
        <f>ROUND($AE19*(1-(SUMIFS(PrefFlows!$C:$C,PrefFlows!$A:$A,$S$1,PrefFlows!$B:$B,$B19)+$AC19))+$AF19*(1-(SUMIFS(PrefFlows!$C:$C,PrefFlows!$A:$A,$T$1,PrefFlows!$B:$B,$B19)+$AC19))+$AG19*(1-(SUMIFS(PrefFlows!$C:$C,PrefFlows!$A:$A,$U$1,PrefFlows!$B:$B,$B19)+$AC19)),2)</f>
        <v>5.53</v>
      </c>
      <c r="AJ19" s="4">
        <f t="shared" si="16"/>
        <v>61.41</v>
      </c>
      <c r="AK19" s="3">
        <f t="shared" si="17"/>
        <v>32.22</v>
      </c>
      <c r="AL19" s="4">
        <f t="shared" si="18"/>
        <v>65.59</v>
      </c>
      <c r="AM19" s="3">
        <f t="shared" si="18"/>
        <v>34.409999999999997</v>
      </c>
      <c r="AN19" s="1">
        <f t="shared" si="0"/>
        <v>13.45</v>
      </c>
      <c r="AO19" s="1">
        <f t="shared" si="1"/>
        <v>15.85</v>
      </c>
      <c r="AP19" s="3">
        <f t="shared" si="2"/>
        <v>15.59</v>
      </c>
      <c r="AQ19" s="1" t="b">
        <f t="shared" si="19"/>
        <v>0</v>
      </c>
      <c r="AR19" s="1" t="b">
        <f t="shared" si="19"/>
        <v>0</v>
      </c>
      <c r="AS19" s="3" t="b">
        <f t="shared" si="20"/>
        <v>0</v>
      </c>
      <c r="AT19" s="1">
        <f t="shared" si="21"/>
        <v>2.4000000000000004</v>
      </c>
      <c r="AU19" s="1">
        <f t="shared" si="21"/>
        <v>2.1400000000000006</v>
      </c>
      <c r="AV19" s="3">
        <f t="shared" si="22"/>
        <v>0.25999999999999979</v>
      </c>
      <c r="AW19" s="1">
        <f>ROUND(IF($B19="NSW",N19*Meta!$B$6,N19),1)</f>
        <v>2300.1999999999998</v>
      </c>
      <c r="AX19" s="3">
        <f t="shared" si="3"/>
        <v>80843.899999999994</v>
      </c>
    </row>
    <row r="20" spans="1:50" x14ac:dyDescent="0.55000000000000004">
      <c r="A20" s="2" t="s">
        <v>29</v>
      </c>
      <c r="B20" s="3" t="s">
        <v>30</v>
      </c>
      <c r="C20" s="4">
        <v>46.15</v>
      </c>
      <c r="D20" s="5">
        <v>38.58</v>
      </c>
      <c r="E20" s="5">
        <v>0</v>
      </c>
      <c r="F20" s="5">
        <v>1.79</v>
      </c>
      <c r="G20" s="5">
        <v>1.6</v>
      </c>
      <c r="H20" s="5">
        <v>8.6</v>
      </c>
      <c r="I20" s="5">
        <v>4.88</v>
      </c>
      <c r="J20" s="3">
        <f t="shared" si="4"/>
        <v>5.07</v>
      </c>
      <c r="K20" s="4">
        <v>44.38</v>
      </c>
      <c r="L20" s="3">
        <v>55.62</v>
      </c>
      <c r="M20" s="4">
        <v>85986</v>
      </c>
      <c r="N20" s="5">
        <v>3354</v>
      </c>
      <c r="O20" s="3">
        <f t="shared" si="5"/>
        <v>82632</v>
      </c>
      <c r="P20" s="5">
        <f t="shared" si="6"/>
        <v>3.9006349870909215E-2</v>
      </c>
      <c r="Q20" s="4">
        <f>ROUND($C20+MIN($D20:$E20)*(1-SUMIFS(PrefFlows!$C:$C,PrefFlows!$A:$A,INDEX($D$1:$E$1,MATCH(MIN($D20:$E20),$D20:$E20,0)),PrefFlows!$B:$B,$B20)),2)</f>
        <v>46.15</v>
      </c>
      <c r="R20" s="5">
        <f>ROUND(MAX($D20:$E20)+MIN($D20:$E20)*SUMIFS(PrefFlows!$C:$C,PrefFlows!$A:$A,INDEX($D$1:$E$1,MATCH(MIN($D20:$E20),$D20:$E20,0)),PrefFlows!$B:$B,$B20),2)</f>
        <v>38.58</v>
      </c>
      <c r="S20" s="5">
        <f t="shared" si="7"/>
        <v>1.6</v>
      </c>
      <c r="T20" s="5">
        <f t="shared" si="8"/>
        <v>8.6</v>
      </c>
      <c r="U20" s="3">
        <f t="shared" si="9"/>
        <v>5.07</v>
      </c>
      <c r="V20" s="6">
        <f t="shared" si="10"/>
        <v>-7.57</v>
      </c>
      <c r="W20" s="4">
        <f>ROUND($S20*SUMIFS(PrefFlows!$C:$C,PrefFlows!$A:$A,$S$1,PrefFlows!$B:$B,$B20)+$T20*SUMIFS(PrefFlows!$C:$C,PrefFlows!$A:$A,$T$1,PrefFlows!$B:$B,$B20)+$U20*SUMIFS(PrefFlows!$C:$C,PrefFlows!$A:$A,$U$1,PrefFlows!$B:$B,$B20),2)</f>
        <v>5.51</v>
      </c>
      <c r="X20" s="3">
        <f>ROUND($S20*(1-SUMIFS(PrefFlows!$C:$C,PrefFlows!$A:$A,$S$1,PrefFlows!$B:$B,$B20))+$T20*(1-SUMIFS(PrefFlows!$C:$C,PrefFlows!$A:$A,$T$1,PrefFlows!$B:$B,$B20))+$U20*(1-SUMIFS(PrefFlows!$C:$C,PrefFlows!$A:$A,$U$1,PrefFlows!$B:$B,$B20)),2)</f>
        <v>9.76</v>
      </c>
      <c r="Y20" s="4">
        <f t="shared" si="11"/>
        <v>5.8</v>
      </c>
      <c r="Z20" s="3">
        <f t="shared" si="12"/>
        <v>9.4700000000000006</v>
      </c>
      <c r="AA20" s="4">
        <f t="shared" si="13"/>
        <v>0.36080000000000001</v>
      </c>
      <c r="AB20" s="5">
        <f t="shared" si="14"/>
        <v>0.37980000000000003</v>
      </c>
      <c r="AC20" s="5">
        <f t="shared" si="15"/>
        <v>1.9E-2</v>
      </c>
      <c r="AD20" s="3">
        <v>9.9726151322964404E-2</v>
      </c>
      <c r="AE20" s="4">
        <f>ROUND(S20*(1-(Exhaust!$B$2+AD20)),2)</f>
        <v>0.54</v>
      </c>
      <c r="AF20" s="5">
        <f>ROUND(T20*(1-(Exhaust!$B$3+$AD20)),2)</f>
        <v>4.3</v>
      </c>
      <c r="AG20" s="3">
        <f>ROUND(U20*(1-(Exhaust!$B$4+$AD20)),2)</f>
        <v>2.0299999999999998</v>
      </c>
      <c r="AH20" s="4">
        <f>ROUND($AE20*(SUMIFS(PrefFlows!$C:$C,PrefFlows!$A:$A,$S$1,PrefFlows!$B:$B,$B20)+$AC20)+$AF20*(SUMIFS(PrefFlows!$C:$C,PrefFlows!$A:$A,$T$1,PrefFlows!$B:$B,$B20)+$AC20)+$AG20*(SUMIFS(PrefFlows!$C:$C,PrefFlows!$A:$A,$U$1,PrefFlows!$B:$B,$B20)+$AC20),2)</f>
        <v>2.4900000000000002</v>
      </c>
      <c r="AI20" s="3">
        <f>ROUND($AE20*(1-(SUMIFS(PrefFlows!$C:$C,PrefFlows!$A:$A,$S$1,PrefFlows!$B:$B,$B20)+$AC20))+$AF20*(1-(SUMIFS(PrefFlows!$C:$C,PrefFlows!$A:$A,$T$1,PrefFlows!$B:$B,$B20)+$AC20))+$AG20*(1-(SUMIFS(PrefFlows!$C:$C,PrefFlows!$A:$A,$U$1,PrefFlows!$B:$B,$B20)+$AC20)),2)</f>
        <v>4.38</v>
      </c>
      <c r="AJ20" s="4">
        <f t="shared" si="16"/>
        <v>41.07</v>
      </c>
      <c r="AK20" s="3">
        <f t="shared" si="17"/>
        <v>50.53</v>
      </c>
      <c r="AL20" s="4">
        <f t="shared" si="18"/>
        <v>44.84</v>
      </c>
      <c r="AM20" s="3">
        <f t="shared" si="18"/>
        <v>55.16</v>
      </c>
      <c r="AN20" s="1">
        <f t="shared" si="0"/>
        <v>-5.62</v>
      </c>
      <c r="AO20" s="1">
        <f t="shared" si="1"/>
        <v>-5.1100000000000003</v>
      </c>
      <c r="AP20" s="3">
        <f t="shared" si="2"/>
        <v>-5.16</v>
      </c>
      <c r="AQ20" s="1" t="b">
        <f t="shared" si="19"/>
        <v>0</v>
      </c>
      <c r="AR20" s="1" t="b">
        <f t="shared" si="19"/>
        <v>0</v>
      </c>
      <c r="AS20" s="3" t="b">
        <f t="shared" si="20"/>
        <v>0</v>
      </c>
      <c r="AT20" s="1">
        <f t="shared" si="21"/>
        <v>0.50999999999999979</v>
      </c>
      <c r="AU20" s="1">
        <f t="shared" si="21"/>
        <v>0.45999999999999996</v>
      </c>
      <c r="AV20" s="3">
        <f t="shared" si="22"/>
        <v>4.9999999999999822E-2</v>
      </c>
      <c r="AW20" s="1">
        <f>ROUND(IF($B20="NSW",N20*Meta!$B$6,N20),1)</f>
        <v>3354</v>
      </c>
      <c r="AX20" s="3">
        <f t="shared" si="3"/>
        <v>76775.8</v>
      </c>
    </row>
    <row r="21" spans="1:50" x14ac:dyDescent="0.55000000000000004">
      <c r="A21" s="2" t="s">
        <v>31</v>
      </c>
      <c r="B21" s="3" t="s">
        <v>22</v>
      </c>
      <c r="C21" s="4">
        <v>45.04</v>
      </c>
      <c r="D21" s="5">
        <v>39.4</v>
      </c>
      <c r="E21" s="5">
        <v>0</v>
      </c>
      <c r="F21" s="5">
        <v>1.41</v>
      </c>
      <c r="G21" s="5">
        <v>0</v>
      </c>
      <c r="H21" s="5">
        <v>11.8</v>
      </c>
      <c r="I21" s="5">
        <v>2.35</v>
      </c>
      <c r="J21" s="3">
        <f t="shared" si="4"/>
        <v>3.76</v>
      </c>
      <c r="K21" s="4">
        <v>43.24</v>
      </c>
      <c r="L21" s="3">
        <v>56.76</v>
      </c>
      <c r="M21" s="4">
        <v>86292</v>
      </c>
      <c r="N21" s="5">
        <v>2554</v>
      </c>
      <c r="O21" s="3">
        <f t="shared" si="5"/>
        <v>83738</v>
      </c>
      <c r="P21" s="5">
        <f t="shared" si="6"/>
        <v>2.9597181662263015E-2</v>
      </c>
      <c r="Q21" s="4">
        <f>ROUND($C21+MIN($D21:$E21)*(1-SUMIFS(PrefFlows!$C:$C,PrefFlows!$A:$A,INDEX($D$1:$E$1,MATCH(MIN($D21:$E21),$D21:$E21,0)),PrefFlows!$B:$B,$B21)),2)</f>
        <v>45.04</v>
      </c>
      <c r="R21" s="5">
        <f>ROUND(MAX($D21:$E21)+MIN($D21:$E21)*SUMIFS(PrefFlows!$C:$C,PrefFlows!$A:$A,INDEX($D$1:$E$1,MATCH(MIN($D21:$E21),$D21:$E21,0)),PrefFlows!$B:$B,$B21),2)</f>
        <v>39.4</v>
      </c>
      <c r="S21" s="5">
        <f t="shared" si="7"/>
        <v>0</v>
      </c>
      <c r="T21" s="5">
        <f t="shared" si="8"/>
        <v>11.8</v>
      </c>
      <c r="U21" s="3">
        <f t="shared" si="9"/>
        <v>3.76</v>
      </c>
      <c r="V21" s="6">
        <f t="shared" si="10"/>
        <v>-5.64</v>
      </c>
      <c r="W21" s="4">
        <f>ROUND($S21*SUMIFS(PrefFlows!$C:$C,PrefFlows!$A:$A,$S$1,PrefFlows!$B:$B,$B21)+$T21*SUMIFS(PrefFlows!$C:$C,PrefFlows!$A:$A,$T$1,PrefFlows!$B:$B,$B21)+$U21*SUMIFS(PrefFlows!$C:$C,PrefFlows!$A:$A,$U$1,PrefFlows!$B:$B,$B21),2)</f>
        <v>4.82</v>
      </c>
      <c r="X21" s="3">
        <f>ROUND($S21*(1-SUMIFS(PrefFlows!$C:$C,PrefFlows!$A:$A,$S$1,PrefFlows!$B:$B,$B21))+$T21*(1-SUMIFS(PrefFlows!$C:$C,PrefFlows!$A:$A,$T$1,PrefFlows!$B:$B,$B21))+$U21*(1-SUMIFS(PrefFlows!$C:$C,PrefFlows!$A:$A,$U$1,PrefFlows!$B:$B,$B21)),2)</f>
        <v>10.74</v>
      </c>
      <c r="Y21" s="4">
        <f t="shared" si="11"/>
        <v>3.84</v>
      </c>
      <c r="Z21" s="3">
        <f t="shared" si="12"/>
        <v>11.72</v>
      </c>
      <c r="AA21" s="4">
        <f t="shared" si="13"/>
        <v>0.30980000000000002</v>
      </c>
      <c r="AB21" s="5">
        <f t="shared" si="14"/>
        <v>0.24679999999999999</v>
      </c>
      <c r="AC21" s="5">
        <f t="shared" si="15"/>
        <v>-6.3E-2</v>
      </c>
      <c r="AD21" s="3">
        <v>-4.2723010186013301E-2</v>
      </c>
      <c r="AE21" s="4">
        <f>ROUND(S21*(1-(Exhaust!$B$2+AD21)),2)</f>
        <v>0</v>
      </c>
      <c r="AF21" s="5">
        <f>ROUND(T21*(1-(Exhaust!$B$3+$AD21)),2)</f>
        <v>7.58</v>
      </c>
      <c r="AG21" s="3">
        <f>ROUND(U21*(1-(Exhaust!$B$4+$AD21)),2)</f>
        <v>2.04</v>
      </c>
      <c r="AH21" s="4">
        <f>ROUND($AE21*(SUMIFS(PrefFlows!$C:$C,PrefFlows!$A:$A,$S$1,PrefFlows!$B:$B,$B21)+$AC21)+$AF21*(SUMIFS(PrefFlows!$C:$C,PrefFlows!$A:$A,$T$1,PrefFlows!$B:$B,$B21)+$AC21)+$AG21*(SUMIFS(PrefFlows!$C:$C,PrefFlows!$A:$A,$U$1,PrefFlows!$B:$B,$B21)+$AC21),2)</f>
        <v>2.2999999999999998</v>
      </c>
      <c r="AI21" s="3">
        <f>ROUND($AE21*(1-(SUMIFS(PrefFlows!$C:$C,PrefFlows!$A:$A,$S$1,PrefFlows!$B:$B,$B21)+$AC21))+$AF21*(1-(SUMIFS(PrefFlows!$C:$C,PrefFlows!$A:$A,$T$1,PrefFlows!$B:$B,$B21)+$AC21))+$AG21*(1-(SUMIFS(PrefFlows!$C:$C,PrefFlows!$A:$A,$U$1,PrefFlows!$B:$B,$B21)+$AC21)),2)</f>
        <v>7.32</v>
      </c>
      <c r="AJ21" s="4">
        <f t="shared" si="16"/>
        <v>41.7</v>
      </c>
      <c r="AK21" s="3">
        <f t="shared" si="17"/>
        <v>52.36</v>
      </c>
      <c r="AL21" s="4">
        <f t="shared" si="18"/>
        <v>44.33</v>
      </c>
      <c r="AM21" s="3">
        <f t="shared" si="18"/>
        <v>55.67</v>
      </c>
      <c r="AN21" s="1">
        <f t="shared" si="0"/>
        <v>-6.76</v>
      </c>
      <c r="AO21" s="1">
        <f t="shared" si="1"/>
        <v>-5.26</v>
      </c>
      <c r="AP21" s="3">
        <f t="shared" si="2"/>
        <v>-5.67</v>
      </c>
      <c r="AQ21" s="1" t="b">
        <f t="shared" si="19"/>
        <v>0</v>
      </c>
      <c r="AR21" s="1" t="b">
        <f t="shared" si="19"/>
        <v>0</v>
      </c>
      <c r="AS21" s="3" t="b">
        <f t="shared" si="20"/>
        <v>0</v>
      </c>
      <c r="AT21" s="1">
        <f t="shared" si="21"/>
        <v>1.5</v>
      </c>
      <c r="AU21" s="1">
        <f t="shared" si="21"/>
        <v>1.0899999999999999</v>
      </c>
      <c r="AV21" s="3">
        <f t="shared" si="22"/>
        <v>0.41000000000000014</v>
      </c>
      <c r="AW21" s="1">
        <f>ROUND(IF($B21="NSW",N21*Meta!$B$6,N21),1)</f>
        <v>2554</v>
      </c>
      <c r="AX21" s="3">
        <f t="shared" si="3"/>
        <v>79612.3</v>
      </c>
    </row>
    <row r="22" spans="1:50" x14ac:dyDescent="0.55000000000000004">
      <c r="A22" s="2" t="s">
        <v>32</v>
      </c>
      <c r="B22" s="3" t="s">
        <v>9</v>
      </c>
      <c r="C22" s="4">
        <v>51.85</v>
      </c>
      <c r="D22" s="5">
        <v>37.57</v>
      </c>
      <c r="E22" s="5">
        <v>0</v>
      </c>
      <c r="F22" s="5">
        <v>2.85</v>
      </c>
      <c r="G22" s="5">
        <v>0.54</v>
      </c>
      <c r="H22" s="5">
        <v>5.09</v>
      </c>
      <c r="I22" s="5">
        <v>2.64</v>
      </c>
      <c r="J22" s="3">
        <f t="shared" si="4"/>
        <v>4.95</v>
      </c>
      <c r="K22" s="4">
        <v>41.68</v>
      </c>
      <c r="L22" s="3">
        <v>58.32</v>
      </c>
      <c r="M22" s="4">
        <v>83637</v>
      </c>
      <c r="N22" s="5">
        <v>3106</v>
      </c>
      <c r="O22" s="3">
        <f t="shared" si="5"/>
        <v>80531</v>
      </c>
      <c r="P22" s="5">
        <f t="shared" si="6"/>
        <v>3.7136673960089434E-2</v>
      </c>
      <c r="Q22" s="4">
        <f>ROUND($C22+MIN($D22:$E22)*(1-SUMIFS(PrefFlows!$C:$C,PrefFlows!$A:$A,INDEX($D$1:$E$1,MATCH(MIN($D22:$E22),$D22:$E22,0)),PrefFlows!$B:$B,$B22)),2)</f>
        <v>51.85</v>
      </c>
      <c r="R22" s="5">
        <f>ROUND(MAX($D22:$E22)+MIN($D22:$E22)*SUMIFS(PrefFlows!$C:$C,PrefFlows!$A:$A,INDEX($D$1:$E$1,MATCH(MIN($D22:$E22),$D22:$E22,0)),PrefFlows!$B:$B,$B22),2)</f>
        <v>37.57</v>
      </c>
      <c r="S22" s="5">
        <f t="shared" si="7"/>
        <v>0.54</v>
      </c>
      <c r="T22" s="5">
        <f t="shared" si="8"/>
        <v>5.09</v>
      </c>
      <c r="U22" s="3">
        <f t="shared" si="9"/>
        <v>4.95</v>
      </c>
      <c r="V22" s="6">
        <f t="shared" si="10"/>
        <v>-14.28</v>
      </c>
      <c r="W22" s="4">
        <f>ROUND($S22*SUMIFS(PrefFlows!$C:$C,PrefFlows!$A:$A,$S$1,PrefFlows!$B:$B,$B22)+$T22*SUMIFS(PrefFlows!$C:$C,PrefFlows!$A:$A,$T$1,PrefFlows!$B:$B,$B22)+$U22*SUMIFS(PrefFlows!$C:$C,PrefFlows!$A:$A,$U$1,PrefFlows!$B:$B,$B22),2)</f>
        <v>3.78</v>
      </c>
      <c r="X22" s="3">
        <f>ROUND($S22*(1-SUMIFS(PrefFlows!$C:$C,PrefFlows!$A:$A,$S$1,PrefFlows!$B:$B,$B22))+$T22*(1-SUMIFS(PrefFlows!$C:$C,PrefFlows!$A:$A,$T$1,PrefFlows!$B:$B,$B22))+$U22*(1-SUMIFS(PrefFlows!$C:$C,PrefFlows!$A:$A,$U$1,PrefFlows!$B:$B,$B22)),2)</f>
        <v>6.8</v>
      </c>
      <c r="Y22" s="4">
        <f t="shared" si="11"/>
        <v>4.1100000000000003</v>
      </c>
      <c r="Z22" s="3">
        <f t="shared" si="12"/>
        <v>6.47</v>
      </c>
      <c r="AA22" s="4">
        <f t="shared" si="13"/>
        <v>0.35730000000000001</v>
      </c>
      <c r="AB22" s="5">
        <f t="shared" si="14"/>
        <v>0.38850000000000001</v>
      </c>
      <c r="AC22" s="5">
        <f t="shared" si="15"/>
        <v>3.1199999999999999E-2</v>
      </c>
      <c r="AD22" s="3">
        <v>2.1630808991793999E-2</v>
      </c>
      <c r="AE22" s="4">
        <f>ROUND(S22*(1-(Exhaust!$B$2+AD22)),2)</f>
        <v>0.23</v>
      </c>
      <c r="AF22" s="5">
        <f>ROUND(T22*(1-(Exhaust!$B$3+$AD22)),2)</f>
        <v>2.94</v>
      </c>
      <c r="AG22" s="3">
        <f>ROUND(U22*(1-(Exhaust!$B$4+$AD22)),2)</f>
        <v>2.37</v>
      </c>
      <c r="AH22" s="4">
        <f>ROUND($AE22*(SUMIFS(PrefFlows!$C:$C,PrefFlows!$A:$A,$S$1,PrefFlows!$B:$B,$B22)+$AC22)+$AF22*(SUMIFS(PrefFlows!$C:$C,PrefFlows!$A:$A,$T$1,PrefFlows!$B:$B,$B22)+$AC22)+$AG22*(SUMIFS(PrefFlows!$C:$C,PrefFlows!$A:$A,$U$1,PrefFlows!$B:$B,$B22)+$AC22),2)</f>
        <v>2.0499999999999998</v>
      </c>
      <c r="AI22" s="3">
        <f>ROUND($AE22*(1-(SUMIFS(PrefFlows!$C:$C,PrefFlows!$A:$A,$S$1,PrefFlows!$B:$B,$B22)+$AC22))+$AF22*(1-(SUMIFS(PrefFlows!$C:$C,PrefFlows!$A:$A,$T$1,PrefFlows!$B:$B,$B22)+$AC22))+$AG22*(1-(SUMIFS(PrefFlows!$C:$C,PrefFlows!$A:$A,$U$1,PrefFlows!$B:$B,$B22)+$AC22)),2)</f>
        <v>3.49</v>
      </c>
      <c r="AJ22" s="4">
        <f t="shared" si="16"/>
        <v>39.619999999999997</v>
      </c>
      <c r="AK22" s="3">
        <f t="shared" si="17"/>
        <v>55.34</v>
      </c>
      <c r="AL22" s="4">
        <f t="shared" si="18"/>
        <v>41.72</v>
      </c>
      <c r="AM22" s="3">
        <f t="shared" si="18"/>
        <v>58.28</v>
      </c>
      <c r="AN22" s="1">
        <f t="shared" si="0"/>
        <v>-8.32</v>
      </c>
      <c r="AO22" s="1">
        <f t="shared" si="1"/>
        <v>-8.17</v>
      </c>
      <c r="AP22" s="3">
        <f t="shared" si="2"/>
        <v>-8.2799999999999994</v>
      </c>
      <c r="AQ22" s="1" t="b">
        <f t="shared" si="19"/>
        <v>0</v>
      </c>
      <c r="AR22" s="1" t="b">
        <f t="shared" si="19"/>
        <v>0</v>
      </c>
      <c r="AS22" s="3" t="b">
        <f t="shared" si="20"/>
        <v>0</v>
      </c>
      <c r="AT22" s="1">
        <f t="shared" si="21"/>
        <v>0.15000000000000036</v>
      </c>
      <c r="AU22" s="1">
        <f t="shared" si="21"/>
        <v>4.0000000000000924E-2</v>
      </c>
      <c r="AV22" s="3">
        <f t="shared" si="22"/>
        <v>0.10999999999999943</v>
      </c>
      <c r="AW22" s="1">
        <f>ROUND(IF($B22="NSW",N22*Meta!$B$6,N22),1)</f>
        <v>3106</v>
      </c>
      <c r="AX22" s="3">
        <f t="shared" si="3"/>
        <v>77513.8</v>
      </c>
    </row>
    <row r="23" spans="1:50" x14ac:dyDescent="0.55000000000000004">
      <c r="A23" s="2" t="s">
        <v>33</v>
      </c>
      <c r="B23" s="3" t="s">
        <v>12</v>
      </c>
      <c r="C23" s="4">
        <v>24.6</v>
      </c>
      <c r="D23" s="5">
        <v>0</v>
      </c>
      <c r="E23" s="5">
        <v>48.48</v>
      </c>
      <c r="F23" s="5">
        <v>0</v>
      </c>
      <c r="G23" s="5">
        <v>0</v>
      </c>
      <c r="H23" s="5">
        <v>2.85</v>
      </c>
      <c r="I23" s="5">
        <v>24.07</v>
      </c>
      <c r="J23" s="3">
        <f t="shared" si="4"/>
        <v>24.07</v>
      </c>
      <c r="K23" s="4">
        <v>62.05</v>
      </c>
      <c r="L23" s="3">
        <v>37.950000000000003</v>
      </c>
      <c r="M23" s="4">
        <v>85320</v>
      </c>
      <c r="N23" s="5">
        <v>2933</v>
      </c>
      <c r="O23" s="3">
        <f t="shared" si="5"/>
        <v>82387</v>
      </c>
      <c r="P23" s="5">
        <f t="shared" si="6"/>
        <v>3.4376465072667603E-2</v>
      </c>
      <c r="Q23" s="4">
        <f>ROUND($C23+MIN($D23:$E23)*(1-SUMIFS(PrefFlows!$C:$C,PrefFlows!$A:$A,INDEX($D$1:$E$1,MATCH(MIN($D23:$E23),$D23:$E23,0)),PrefFlows!$B:$B,$B23)),2)</f>
        <v>24.6</v>
      </c>
      <c r="R23" s="5">
        <f>ROUND(MAX($D23:$E23)+MIN($D23:$E23)*SUMIFS(PrefFlows!$C:$C,PrefFlows!$A:$A,INDEX($D$1:$E$1,MATCH(MIN($D23:$E23),$D23:$E23,0)),PrefFlows!$B:$B,$B23),2)</f>
        <v>48.48</v>
      </c>
      <c r="S23" s="5">
        <f t="shared" si="7"/>
        <v>0</v>
      </c>
      <c r="T23" s="5">
        <f t="shared" si="8"/>
        <v>2.85</v>
      </c>
      <c r="U23" s="3">
        <f t="shared" si="9"/>
        <v>24.07</v>
      </c>
      <c r="V23" s="6">
        <f t="shared" si="10"/>
        <v>23.88</v>
      </c>
      <c r="W23" s="4">
        <f>ROUND($S23*SUMIFS(PrefFlows!$C:$C,PrefFlows!$A:$A,$S$1,PrefFlows!$B:$B,$B23)+$T23*SUMIFS(PrefFlows!$C:$C,PrefFlows!$A:$A,$T$1,PrefFlows!$B:$B,$B23)+$U23*SUMIFS(PrefFlows!$C:$C,PrefFlows!$A:$A,$U$1,PrefFlows!$B:$B,$B23),2)</f>
        <v>13.27</v>
      </c>
      <c r="X23" s="3">
        <f>ROUND($S23*(1-SUMIFS(PrefFlows!$C:$C,PrefFlows!$A:$A,$S$1,PrefFlows!$B:$B,$B23))+$T23*(1-SUMIFS(PrefFlows!$C:$C,PrefFlows!$A:$A,$T$1,PrefFlows!$B:$B,$B23))+$U23*(1-SUMIFS(PrefFlows!$C:$C,PrefFlows!$A:$A,$U$1,PrefFlows!$B:$B,$B23)),2)</f>
        <v>13.65</v>
      </c>
      <c r="Y23" s="4">
        <f t="shared" si="11"/>
        <v>13.57</v>
      </c>
      <c r="Z23" s="3">
        <f t="shared" si="12"/>
        <v>13.35</v>
      </c>
      <c r="AA23" s="4">
        <f t="shared" si="13"/>
        <v>0.4929</v>
      </c>
      <c r="AB23" s="5">
        <f t="shared" si="14"/>
        <v>0.50409999999999999</v>
      </c>
      <c r="AC23" s="5">
        <f t="shared" si="15"/>
        <v>1.12E-2</v>
      </c>
      <c r="AD23" s="3">
        <v>2.9819493256214399E-2</v>
      </c>
      <c r="AE23" s="4">
        <f>ROUND(S23*(1-(Exhaust!$B$2+AD23)),2)</f>
        <v>0</v>
      </c>
      <c r="AF23" s="5">
        <f>ROUND(T23*(1-(Exhaust!$B$3+$AD23)),2)</f>
        <v>1.63</v>
      </c>
      <c r="AG23" s="3">
        <f>ROUND(U23*(1-(Exhaust!$B$4+$AD23)),2)</f>
        <v>11.32</v>
      </c>
      <c r="AH23" s="4">
        <f>ROUND($AE23*(SUMIFS(PrefFlows!$C:$C,PrefFlows!$A:$A,$S$1,PrefFlows!$B:$B,$B23)+$AC23)+$AF23*(SUMIFS(PrefFlows!$C:$C,PrefFlows!$A:$A,$T$1,PrefFlows!$B:$B,$B23)+$AC23)+$AG23*(SUMIFS(PrefFlows!$C:$C,PrefFlows!$A:$A,$U$1,PrefFlows!$B:$B,$B23)+$AC23),2)</f>
        <v>6.44</v>
      </c>
      <c r="AI23" s="3">
        <f>ROUND($AE23*(1-(SUMIFS(PrefFlows!$C:$C,PrefFlows!$A:$A,$S$1,PrefFlows!$B:$B,$B23)+$AC23))+$AF23*(1-(SUMIFS(PrefFlows!$C:$C,PrefFlows!$A:$A,$T$1,PrefFlows!$B:$B,$B23)+$AC23))+$AG23*(1-(SUMIFS(PrefFlows!$C:$C,PrefFlows!$A:$A,$U$1,PrefFlows!$B:$B,$B23)+$AC23)),2)</f>
        <v>6.51</v>
      </c>
      <c r="AJ23" s="4">
        <f t="shared" si="16"/>
        <v>54.92</v>
      </c>
      <c r="AK23" s="3">
        <f t="shared" si="17"/>
        <v>31.11</v>
      </c>
      <c r="AL23" s="4">
        <f t="shared" si="18"/>
        <v>63.84</v>
      </c>
      <c r="AM23" s="3">
        <f t="shared" si="18"/>
        <v>36.159999999999997</v>
      </c>
      <c r="AN23" s="1">
        <f t="shared" si="0"/>
        <v>12.05</v>
      </c>
      <c r="AO23" s="1">
        <f t="shared" si="1"/>
        <v>13.78</v>
      </c>
      <c r="AP23" s="3">
        <f t="shared" si="2"/>
        <v>13.84</v>
      </c>
      <c r="AQ23" s="1" t="b">
        <f t="shared" si="19"/>
        <v>0</v>
      </c>
      <c r="AR23" s="1" t="b">
        <f t="shared" si="19"/>
        <v>0</v>
      </c>
      <c r="AS23" s="3" t="b">
        <f t="shared" si="20"/>
        <v>0</v>
      </c>
      <c r="AT23" s="1">
        <f t="shared" si="21"/>
        <v>1.7299999999999986</v>
      </c>
      <c r="AU23" s="1">
        <f t="shared" si="21"/>
        <v>1.7899999999999991</v>
      </c>
      <c r="AV23" s="3">
        <f t="shared" si="22"/>
        <v>6.0000000000000497E-2</v>
      </c>
      <c r="AW23" s="1">
        <f>ROUND(IF($B23="NSW",N23*Meta!$B$6,N23),1)</f>
        <v>1927</v>
      </c>
      <c r="AX23" s="3">
        <f t="shared" si="3"/>
        <v>72328.399999999994</v>
      </c>
    </row>
    <row r="24" spans="1:50" x14ac:dyDescent="0.55000000000000004">
      <c r="A24" s="2" t="s">
        <v>34</v>
      </c>
      <c r="B24" s="3" t="s">
        <v>9</v>
      </c>
      <c r="C24" s="4">
        <v>60.22</v>
      </c>
      <c r="D24" s="5">
        <v>26.55</v>
      </c>
      <c r="E24" s="5">
        <v>0</v>
      </c>
      <c r="F24" s="5">
        <v>4.34</v>
      </c>
      <c r="G24" s="5">
        <v>0</v>
      </c>
      <c r="H24" s="5">
        <v>4.3600000000000003</v>
      </c>
      <c r="I24" s="5">
        <v>4.53</v>
      </c>
      <c r="J24" s="3">
        <f t="shared" si="4"/>
        <v>8.8699999999999992</v>
      </c>
      <c r="K24" s="4">
        <v>30.67</v>
      </c>
      <c r="L24" s="3">
        <v>69.33</v>
      </c>
      <c r="M24" s="4">
        <v>90669</v>
      </c>
      <c r="N24" s="5">
        <v>4399</v>
      </c>
      <c r="O24" s="3">
        <f t="shared" si="5"/>
        <v>86270</v>
      </c>
      <c r="P24" s="5">
        <f t="shared" si="6"/>
        <v>4.8517133750234372E-2</v>
      </c>
      <c r="Q24" s="4">
        <f>ROUND($C24+MIN($D24:$E24)*(1-SUMIFS(PrefFlows!$C:$C,PrefFlows!$A:$A,INDEX($D$1:$E$1,MATCH(MIN($D24:$E24),$D24:$E24,0)),PrefFlows!$B:$B,$B24)),2)</f>
        <v>60.22</v>
      </c>
      <c r="R24" s="5">
        <f>ROUND(MAX($D24:$E24)+MIN($D24:$E24)*SUMIFS(PrefFlows!$C:$C,PrefFlows!$A:$A,INDEX($D$1:$E$1,MATCH(MIN($D24:$E24),$D24:$E24,0)),PrefFlows!$B:$B,$B24),2)</f>
        <v>26.55</v>
      </c>
      <c r="S24" s="5">
        <f t="shared" si="7"/>
        <v>0</v>
      </c>
      <c r="T24" s="5">
        <f t="shared" si="8"/>
        <v>4.3600000000000003</v>
      </c>
      <c r="U24" s="3">
        <f t="shared" si="9"/>
        <v>8.8699999999999992</v>
      </c>
      <c r="V24" s="6">
        <f t="shared" si="10"/>
        <v>-33.67</v>
      </c>
      <c r="W24" s="4">
        <f>ROUND($S24*SUMIFS(PrefFlows!$C:$C,PrefFlows!$A:$A,$S$1,PrefFlows!$B:$B,$B24)+$T24*SUMIFS(PrefFlows!$C:$C,PrefFlows!$A:$A,$T$1,PrefFlows!$B:$B,$B24)+$U24*SUMIFS(PrefFlows!$C:$C,PrefFlows!$A:$A,$U$1,PrefFlows!$B:$B,$B24),2)</f>
        <v>5.47</v>
      </c>
      <c r="X24" s="3">
        <f>ROUND($S24*(1-SUMIFS(PrefFlows!$C:$C,PrefFlows!$A:$A,$S$1,PrefFlows!$B:$B,$B24))+$T24*(1-SUMIFS(PrefFlows!$C:$C,PrefFlows!$A:$A,$T$1,PrefFlows!$B:$B,$B24))+$U24*(1-SUMIFS(PrefFlows!$C:$C,PrefFlows!$A:$A,$U$1,PrefFlows!$B:$B,$B24)),2)</f>
        <v>7.76</v>
      </c>
      <c r="Y24" s="4">
        <f t="shared" si="11"/>
        <v>4.12</v>
      </c>
      <c r="Z24" s="3">
        <f t="shared" si="12"/>
        <v>9.11</v>
      </c>
      <c r="AA24" s="4">
        <f t="shared" si="13"/>
        <v>0.41349999999999998</v>
      </c>
      <c r="AB24" s="5">
        <f t="shared" si="14"/>
        <v>0.31140000000000001</v>
      </c>
      <c r="AC24" s="5">
        <f t="shared" si="15"/>
        <v>-0.1021</v>
      </c>
      <c r="AD24" s="3">
        <v>4.4696226895501998E-2</v>
      </c>
      <c r="AE24" s="4">
        <f>ROUND(S24*(1-(Exhaust!$B$2+AD24)),2)</f>
        <v>0</v>
      </c>
      <c r="AF24" s="5">
        <f>ROUND(T24*(1-(Exhaust!$B$3+$AD24)),2)</f>
        <v>2.42</v>
      </c>
      <c r="AG24" s="3">
        <f>ROUND(U24*(1-(Exhaust!$B$4+$AD24)),2)</f>
        <v>4.04</v>
      </c>
      <c r="AH24" s="4">
        <f>ROUND($AE24*(SUMIFS(PrefFlows!$C:$C,PrefFlows!$A:$A,$S$1,PrefFlows!$B:$B,$B24)+$AC24)+$AF24*(SUMIFS(PrefFlows!$C:$C,PrefFlows!$A:$A,$T$1,PrefFlows!$B:$B,$B24)+$AC24)+$AG24*(SUMIFS(PrefFlows!$C:$C,PrefFlows!$A:$A,$U$1,PrefFlows!$B:$B,$B24)+$AC24),2)</f>
        <v>1.9</v>
      </c>
      <c r="AI24" s="3">
        <f>ROUND($AE24*(1-(SUMIFS(PrefFlows!$C:$C,PrefFlows!$A:$A,$S$1,PrefFlows!$B:$B,$B24)+$AC24))+$AF24*(1-(SUMIFS(PrefFlows!$C:$C,PrefFlows!$A:$A,$T$1,PrefFlows!$B:$B,$B24)+$AC24))+$AG24*(1-(SUMIFS(PrefFlows!$C:$C,PrefFlows!$A:$A,$U$1,PrefFlows!$B:$B,$B24)+$AC24)),2)</f>
        <v>4.5599999999999996</v>
      </c>
      <c r="AJ24" s="4">
        <f t="shared" si="16"/>
        <v>28.45</v>
      </c>
      <c r="AK24" s="3">
        <f t="shared" si="17"/>
        <v>64.78</v>
      </c>
      <c r="AL24" s="4">
        <f t="shared" si="18"/>
        <v>30.52</v>
      </c>
      <c r="AM24" s="3">
        <f t="shared" si="18"/>
        <v>69.48</v>
      </c>
      <c r="AN24" s="1">
        <f t="shared" si="0"/>
        <v>-19.329999999999998</v>
      </c>
      <c r="AO24" s="1">
        <f t="shared" si="1"/>
        <v>-19.36</v>
      </c>
      <c r="AP24" s="3">
        <f t="shared" si="2"/>
        <v>-19.48</v>
      </c>
      <c r="AQ24" s="1" t="b">
        <f t="shared" si="19"/>
        <v>0</v>
      </c>
      <c r="AR24" s="1" t="b">
        <f t="shared" si="19"/>
        <v>0</v>
      </c>
      <c r="AS24" s="3" t="b">
        <f t="shared" si="20"/>
        <v>0</v>
      </c>
      <c r="AT24" s="1">
        <f t="shared" si="21"/>
        <v>-3.0000000000001137E-2</v>
      </c>
      <c r="AU24" s="1">
        <f t="shared" si="21"/>
        <v>-0.15000000000000213</v>
      </c>
      <c r="AV24" s="3">
        <f t="shared" si="22"/>
        <v>0.12000000000000099</v>
      </c>
      <c r="AW24" s="1">
        <f>ROUND(IF($B24="NSW",N24*Meta!$B$6,N24),1)</f>
        <v>4399</v>
      </c>
      <c r="AX24" s="3">
        <f t="shared" si="3"/>
        <v>81877.8</v>
      </c>
    </row>
    <row r="25" spans="1:50" x14ac:dyDescent="0.55000000000000004">
      <c r="A25" s="2" t="s">
        <v>35</v>
      </c>
      <c r="B25" s="3" t="s">
        <v>36</v>
      </c>
      <c r="C25" s="4">
        <v>51.1</v>
      </c>
      <c r="D25" s="5">
        <v>35.130000000000003</v>
      </c>
      <c r="E25" s="5">
        <v>0</v>
      </c>
      <c r="F25" s="5">
        <v>0</v>
      </c>
      <c r="G25" s="5">
        <v>0</v>
      </c>
      <c r="H25" s="5">
        <v>12.95</v>
      </c>
      <c r="I25" s="5">
        <v>0.82</v>
      </c>
      <c r="J25" s="3">
        <f t="shared" si="4"/>
        <v>0.82</v>
      </c>
      <c r="K25" s="4">
        <v>38.18</v>
      </c>
      <c r="L25" s="3">
        <v>61.82</v>
      </c>
      <c r="M25" s="4">
        <v>117561</v>
      </c>
      <c r="N25" s="5">
        <v>2660</v>
      </c>
      <c r="O25" s="3">
        <f t="shared" si="5"/>
        <v>114901</v>
      </c>
      <c r="P25" s="5">
        <f t="shared" si="6"/>
        <v>2.2626551322292257E-2</v>
      </c>
      <c r="Q25" s="4">
        <f>ROUND($C25+MIN($D25:$E25)*(1-SUMIFS(PrefFlows!$C:$C,PrefFlows!$A:$A,INDEX($D$1:$E$1,MATCH(MIN($D25:$E25),$D25:$E25,0)),PrefFlows!$B:$B,$B25)),2)</f>
        <v>51.1</v>
      </c>
      <c r="R25" s="5">
        <f>ROUND(MAX($D25:$E25)+MIN($D25:$E25)*SUMIFS(PrefFlows!$C:$C,PrefFlows!$A:$A,INDEX($D$1:$E$1,MATCH(MIN($D25:$E25),$D25:$E25,0)),PrefFlows!$B:$B,$B25),2)</f>
        <v>35.130000000000003</v>
      </c>
      <c r="S25" s="5">
        <f t="shared" si="7"/>
        <v>0</v>
      </c>
      <c r="T25" s="5">
        <f t="shared" si="8"/>
        <v>12.95</v>
      </c>
      <c r="U25" s="3">
        <f t="shared" si="9"/>
        <v>0.82</v>
      </c>
      <c r="V25" s="6">
        <f t="shared" si="10"/>
        <v>-15.97</v>
      </c>
      <c r="W25" s="4">
        <f>ROUND($S25*SUMIFS(PrefFlows!$C:$C,PrefFlows!$A:$A,$S$1,PrefFlows!$B:$B,$B25)+$T25*SUMIFS(PrefFlows!$C:$C,PrefFlows!$A:$A,$T$1,PrefFlows!$B:$B,$B25)+$U25*SUMIFS(PrefFlows!$C:$C,PrefFlows!$A:$A,$U$1,PrefFlows!$B:$B,$B25),2)</f>
        <v>2.79</v>
      </c>
      <c r="X25" s="3">
        <f>ROUND($S25*(1-SUMIFS(PrefFlows!$C:$C,PrefFlows!$A:$A,$S$1,PrefFlows!$B:$B,$B25))+$T25*(1-SUMIFS(PrefFlows!$C:$C,PrefFlows!$A:$A,$T$1,PrefFlows!$B:$B,$B25))+$U25*(1-SUMIFS(PrefFlows!$C:$C,PrefFlows!$A:$A,$U$1,PrefFlows!$B:$B,$B25)),2)</f>
        <v>10.98</v>
      </c>
      <c r="Y25" s="4">
        <f t="shared" si="11"/>
        <v>3.05</v>
      </c>
      <c r="Z25" s="3">
        <f t="shared" si="12"/>
        <v>10.72</v>
      </c>
      <c r="AA25" s="4">
        <f t="shared" si="13"/>
        <v>0.2026</v>
      </c>
      <c r="AB25" s="5">
        <f t="shared" si="14"/>
        <v>0.2215</v>
      </c>
      <c r="AC25" s="5">
        <f t="shared" si="15"/>
        <v>1.89E-2</v>
      </c>
      <c r="AD25" s="3">
        <v>-0.16698528816751099</v>
      </c>
      <c r="AE25" s="4">
        <f>ROUND(S25*(1-(Exhaust!$B$2+AD25)),2)</f>
        <v>0</v>
      </c>
      <c r="AF25" s="5">
        <f>ROUND(T25*(1-(Exhaust!$B$3+$AD25)),2)</f>
        <v>9.93</v>
      </c>
      <c r="AG25" s="3">
        <f>ROUND(U25*(1-(Exhaust!$B$4+$AD25)),2)</f>
        <v>0.55000000000000004</v>
      </c>
      <c r="AH25" s="4">
        <f>ROUND($AE25*(SUMIFS(PrefFlows!$C:$C,PrefFlows!$A:$A,$S$1,PrefFlows!$B:$B,$B25)+$AC25)+$AF25*(SUMIFS(PrefFlows!$C:$C,PrefFlows!$A:$A,$T$1,PrefFlows!$B:$B,$B25)+$AC25)+$AG25*(SUMIFS(PrefFlows!$C:$C,PrefFlows!$A:$A,$U$1,PrefFlows!$B:$B,$B25)+$AC25),2)</f>
        <v>2.29</v>
      </c>
      <c r="AI25" s="3">
        <f>ROUND($AE25*(1-(SUMIFS(PrefFlows!$C:$C,PrefFlows!$A:$A,$S$1,PrefFlows!$B:$B,$B25)+$AC25))+$AF25*(1-(SUMIFS(PrefFlows!$C:$C,PrefFlows!$A:$A,$T$1,PrefFlows!$B:$B,$B25)+$AC25))+$AG25*(1-(SUMIFS(PrefFlows!$C:$C,PrefFlows!$A:$A,$U$1,PrefFlows!$B:$B,$B25)+$AC25)),2)</f>
        <v>8.19</v>
      </c>
      <c r="AJ25" s="4">
        <f t="shared" si="16"/>
        <v>37.42</v>
      </c>
      <c r="AK25" s="3">
        <f t="shared" si="17"/>
        <v>59.29</v>
      </c>
      <c r="AL25" s="4">
        <f t="shared" si="18"/>
        <v>38.69</v>
      </c>
      <c r="AM25" s="3">
        <f t="shared" si="18"/>
        <v>61.31</v>
      </c>
      <c r="AN25" s="1">
        <f t="shared" si="0"/>
        <v>-11.82</v>
      </c>
      <c r="AO25" s="1">
        <f t="shared" si="1"/>
        <v>-10.69</v>
      </c>
      <c r="AP25" s="3">
        <f t="shared" si="2"/>
        <v>-11.31</v>
      </c>
      <c r="AQ25" s="1" t="b">
        <f t="shared" si="19"/>
        <v>0</v>
      </c>
      <c r="AR25" s="1" t="b">
        <f t="shared" si="19"/>
        <v>0</v>
      </c>
      <c r="AS25" s="3" t="b">
        <f t="shared" si="20"/>
        <v>0</v>
      </c>
      <c r="AT25" s="1">
        <f t="shared" si="21"/>
        <v>1.1300000000000008</v>
      </c>
      <c r="AU25" s="1">
        <f t="shared" si="21"/>
        <v>0.50999999999999979</v>
      </c>
      <c r="AV25" s="3">
        <f t="shared" si="22"/>
        <v>0.62000000000000099</v>
      </c>
      <c r="AW25" s="1">
        <f>ROUND(IF($B25="NSW",N25*Meta!$B$6,N25),1)</f>
        <v>2660</v>
      </c>
      <c r="AX25" s="3">
        <f t="shared" si="3"/>
        <v>112029.2</v>
      </c>
    </row>
    <row r="26" spans="1:50" x14ac:dyDescent="0.55000000000000004">
      <c r="A26" s="2" t="s">
        <v>37</v>
      </c>
      <c r="B26" s="3" t="s">
        <v>30</v>
      </c>
      <c r="C26" s="4">
        <v>36.950000000000003</v>
      </c>
      <c r="D26" s="5">
        <v>49.7</v>
      </c>
      <c r="E26" s="5">
        <v>0</v>
      </c>
      <c r="F26" s="5">
        <v>1.3</v>
      </c>
      <c r="G26" s="5">
        <v>1.47</v>
      </c>
      <c r="H26" s="5">
        <v>7.45</v>
      </c>
      <c r="I26" s="5">
        <v>4.5999999999999996</v>
      </c>
      <c r="J26" s="3">
        <f t="shared" si="4"/>
        <v>4.43</v>
      </c>
      <c r="K26" s="4">
        <v>55.58</v>
      </c>
      <c r="L26" s="3">
        <v>44.42</v>
      </c>
      <c r="M26" s="4">
        <v>88723</v>
      </c>
      <c r="N26" s="5">
        <v>2925</v>
      </c>
      <c r="O26" s="3">
        <f t="shared" si="5"/>
        <v>85798</v>
      </c>
      <c r="P26" s="5">
        <f t="shared" si="6"/>
        <v>3.2967776112169334E-2</v>
      </c>
      <c r="Q26" s="4">
        <f>ROUND($C26+MIN($D26:$E26)*(1-SUMIFS(PrefFlows!$C:$C,PrefFlows!$A:$A,INDEX($D$1:$E$1,MATCH(MIN($D26:$E26),$D26:$E26,0)),PrefFlows!$B:$B,$B26)),2)</f>
        <v>36.950000000000003</v>
      </c>
      <c r="R26" s="5">
        <f>ROUND(MAX($D26:$E26)+MIN($D26:$E26)*SUMIFS(PrefFlows!$C:$C,PrefFlows!$A:$A,INDEX($D$1:$E$1,MATCH(MIN($D26:$E26),$D26:$E26,0)),PrefFlows!$B:$B,$B26),2)</f>
        <v>49.7</v>
      </c>
      <c r="S26" s="5">
        <f t="shared" si="7"/>
        <v>1.47</v>
      </c>
      <c r="T26" s="5">
        <f t="shared" si="8"/>
        <v>7.45</v>
      </c>
      <c r="U26" s="3">
        <f t="shared" si="9"/>
        <v>4.43</v>
      </c>
      <c r="V26" s="6">
        <f t="shared" si="10"/>
        <v>12.75</v>
      </c>
      <c r="W26" s="4">
        <f>ROUND($S26*SUMIFS(PrefFlows!$C:$C,PrefFlows!$A:$A,$S$1,PrefFlows!$B:$B,$B26)+$T26*SUMIFS(PrefFlows!$C:$C,PrefFlows!$A:$A,$T$1,PrefFlows!$B:$B,$B26)+$U26*SUMIFS(PrefFlows!$C:$C,PrefFlows!$A:$A,$U$1,PrefFlows!$B:$B,$B26),2)</f>
        <v>4.84</v>
      </c>
      <c r="X26" s="3">
        <f>ROUND($S26*(1-SUMIFS(PrefFlows!$C:$C,PrefFlows!$A:$A,$S$1,PrefFlows!$B:$B,$B26))+$T26*(1-SUMIFS(PrefFlows!$C:$C,PrefFlows!$A:$A,$T$1,PrefFlows!$B:$B,$B26))+$U26*(1-SUMIFS(PrefFlows!$C:$C,PrefFlows!$A:$A,$U$1,PrefFlows!$B:$B,$B26)),2)</f>
        <v>8.51</v>
      </c>
      <c r="Y26" s="4">
        <f t="shared" si="11"/>
        <v>5.88</v>
      </c>
      <c r="Z26" s="3">
        <f t="shared" si="12"/>
        <v>7.47</v>
      </c>
      <c r="AA26" s="4">
        <f t="shared" si="13"/>
        <v>0.36249999999999999</v>
      </c>
      <c r="AB26" s="5">
        <f t="shared" si="14"/>
        <v>0.44040000000000001</v>
      </c>
      <c r="AC26" s="5">
        <f t="shared" si="15"/>
        <v>7.7899999999999997E-2</v>
      </c>
      <c r="AD26" s="3">
        <v>9.2162868176696403E-2</v>
      </c>
      <c r="AE26" s="4">
        <f>ROUND(S26*(1-(Exhaust!$B$2+AD26)),2)</f>
        <v>0.51</v>
      </c>
      <c r="AF26" s="5">
        <f>ROUND(T26*(1-(Exhaust!$B$3+$AD26)),2)</f>
        <v>3.78</v>
      </c>
      <c r="AG26" s="3">
        <f>ROUND(U26*(1-(Exhaust!$B$4+$AD26)),2)</f>
        <v>1.81</v>
      </c>
      <c r="AH26" s="4">
        <f>ROUND($AE26*(SUMIFS(PrefFlows!$C:$C,PrefFlows!$A:$A,$S$1,PrefFlows!$B:$B,$B26)+$AC26)+$AF26*(SUMIFS(PrefFlows!$C:$C,PrefFlows!$A:$A,$T$1,PrefFlows!$B:$B,$B26)+$AC26)+$AG26*(SUMIFS(PrefFlows!$C:$C,PrefFlows!$A:$A,$U$1,PrefFlows!$B:$B,$B26)+$AC26),2)</f>
        <v>2.58</v>
      </c>
      <c r="AI26" s="3">
        <f>ROUND($AE26*(1-(SUMIFS(PrefFlows!$C:$C,PrefFlows!$A:$A,$S$1,PrefFlows!$B:$B,$B26)+$AC26))+$AF26*(1-(SUMIFS(PrefFlows!$C:$C,PrefFlows!$A:$A,$T$1,PrefFlows!$B:$B,$B26)+$AC26))+$AG26*(1-(SUMIFS(PrefFlows!$C:$C,PrefFlows!$A:$A,$U$1,PrefFlows!$B:$B,$B26)+$AC26)),2)</f>
        <v>3.52</v>
      </c>
      <c r="AJ26" s="4">
        <f t="shared" si="16"/>
        <v>52.28</v>
      </c>
      <c r="AK26" s="3">
        <f t="shared" si="17"/>
        <v>40.47</v>
      </c>
      <c r="AL26" s="4">
        <f t="shared" si="18"/>
        <v>56.37</v>
      </c>
      <c r="AM26" s="3">
        <f t="shared" si="18"/>
        <v>43.63</v>
      </c>
      <c r="AN26" s="1">
        <f t="shared" si="0"/>
        <v>5.58</v>
      </c>
      <c r="AO26" s="1">
        <f t="shared" si="1"/>
        <v>6.37</v>
      </c>
      <c r="AP26" s="3">
        <f t="shared" si="2"/>
        <v>6.37</v>
      </c>
      <c r="AQ26" s="1" t="b">
        <f t="shared" si="19"/>
        <v>0</v>
      </c>
      <c r="AR26" s="1" t="b">
        <f t="shared" si="19"/>
        <v>0</v>
      </c>
      <c r="AS26" s="3" t="b">
        <f t="shared" si="20"/>
        <v>0</v>
      </c>
      <c r="AT26" s="1">
        <f t="shared" si="21"/>
        <v>0.79</v>
      </c>
      <c r="AU26" s="1">
        <f t="shared" si="21"/>
        <v>0.79</v>
      </c>
      <c r="AV26" s="3">
        <f t="shared" si="22"/>
        <v>0</v>
      </c>
      <c r="AW26" s="1">
        <f>ROUND(IF($B26="NSW",N26*Meta!$B$6,N26),1)</f>
        <v>2925</v>
      </c>
      <c r="AX26" s="3">
        <f t="shared" si="3"/>
        <v>80535.7</v>
      </c>
    </row>
    <row r="27" spans="1:50" x14ac:dyDescent="0.55000000000000004">
      <c r="A27" s="2" t="s">
        <v>38</v>
      </c>
      <c r="B27" s="3" t="s">
        <v>22</v>
      </c>
      <c r="C27" s="4">
        <v>55.84</v>
      </c>
      <c r="D27" s="5">
        <v>18.12</v>
      </c>
      <c r="E27" s="5">
        <v>18.41</v>
      </c>
      <c r="F27" s="5">
        <v>1.77</v>
      </c>
      <c r="G27" s="5">
        <v>0</v>
      </c>
      <c r="H27" s="5">
        <v>2.92</v>
      </c>
      <c r="I27" s="5">
        <v>2.94</v>
      </c>
      <c r="J27" s="3">
        <f t="shared" si="4"/>
        <v>4.71</v>
      </c>
      <c r="K27" s="4">
        <v>37.29</v>
      </c>
      <c r="L27" s="3">
        <v>62.71</v>
      </c>
      <c r="M27" s="4">
        <v>88040</v>
      </c>
      <c r="N27" s="5">
        <v>2960</v>
      </c>
      <c r="O27" s="3">
        <f t="shared" si="5"/>
        <v>85080</v>
      </c>
      <c r="P27" s="5">
        <f t="shared" si="6"/>
        <v>3.3621081326669695E-2</v>
      </c>
      <c r="Q27" s="4">
        <f>ROUND($C27+MIN($D27:$E27)*(1-SUMIFS(PrefFlows!$C:$C,PrefFlows!$A:$A,INDEX($D$1:$E$1,MATCH(MIN($D27:$E27),$D27:$E27,0)),PrefFlows!$B:$B,$B27)),2)</f>
        <v>58.48</v>
      </c>
      <c r="R27" s="5">
        <f>ROUND(MAX($D27:$E27)+MIN($D27:$E27)*SUMIFS(PrefFlows!$C:$C,PrefFlows!$A:$A,INDEX($D$1:$E$1,MATCH(MIN($D27:$E27),$D27:$E27,0)),PrefFlows!$B:$B,$B27),2)</f>
        <v>33.89</v>
      </c>
      <c r="S27" s="5">
        <f t="shared" si="7"/>
        <v>0</v>
      </c>
      <c r="T27" s="5">
        <f t="shared" si="8"/>
        <v>2.92</v>
      </c>
      <c r="U27" s="3">
        <f t="shared" si="9"/>
        <v>4.71</v>
      </c>
      <c r="V27" s="6">
        <f t="shared" si="10"/>
        <v>-24.59</v>
      </c>
      <c r="W27" s="4">
        <f>ROUND($S27*SUMIFS(PrefFlows!$C:$C,PrefFlows!$A:$A,$S$1,PrefFlows!$B:$B,$B27)+$T27*SUMIFS(PrefFlows!$C:$C,PrefFlows!$A:$A,$T$1,PrefFlows!$B:$B,$B27)+$U27*SUMIFS(PrefFlows!$C:$C,PrefFlows!$A:$A,$U$1,PrefFlows!$B:$B,$B27),2)</f>
        <v>3.12</v>
      </c>
      <c r="X27" s="3">
        <f>ROUND($S27*(1-SUMIFS(PrefFlows!$C:$C,PrefFlows!$A:$A,$S$1,PrefFlows!$B:$B,$B27))+$T27*(1-SUMIFS(PrefFlows!$C:$C,PrefFlows!$A:$A,$T$1,PrefFlows!$B:$B,$B27))+$U27*(1-SUMIFS(PrefFlows!$C:$C,PrefFlows!$A:$A,$U$1,PrefFlows!$B:$B,$B27)),2)</f>
        <v>4.51</v>
      </c>
      <c r="Y27" s="4">
        <f t="shared" si="11"/>
        <v>3.4</v>
      </c>
      <c r="Z27" s="3">
        <f t="shared" si="12"/>
        <v>4.2300000000000004</v>
      </c>
      <c r="AA27" s="4">
        <f t="shared" si="13"/>
        <v>0.40889999999999999</v>
      </c>
      <c r="AB27" s="5">
        <f t="shared" si="14"/>
        <v>0.4456</v>
      </c>
      <c r="AC27" s="5">
        <f t="shared" si="15"/>
        <v>3.6700000000000003E-2</v>
      </c>
      <c r="AD27" s="3">
        <v>3.8562938409782303E-2</v>
      </c>
      <c r="AE27" s="4">
        <f>ROUND(S27*(1-(Exhaust!$B$2+AD27)),2)</f>
        <v>0</v>
      </c>
      <c r="AF27" s="5">
        <f>ROUND(T27*(1-(Exhaust!$B$3+$AD27)),2)</f>
        <v>1.64</v>
      </c>
      <c r="AG27" s="3">
        <f>ROUND(U27*(1-(Exhaust!$B$4+$AD27)),2)</f>
        <v>2.17</v>
      </c>
      <c r="AH27" s="4">
        <f>ROUND($AE27*(SUMIFS(PrefFlows!$C:$C,PrefFlows!$A:$A,$S$1,PrefFlows!$B:$B,$B27)+$AC27)+$AF27*(SUMIFS(PrefFlows!$C:$C,PrefFlows!$A:$A,$T$1,PrefFlows!$B:$B,$B27)+$AC27)+$AG27*(SUMIFS(PrefFlows!$C:$C,PrefFlows!$A:$A,$U$1,PrefFlows!$B:$B,$B27)+$AC27),2)</f>
        <v>1.65</v>
      </c>
      <c r="AI27" s="3">
        <f>ROUND($AE27*(1-(SUMIFS(PrefFlows!$C:$C,PrefFlows!$A:$A,$S$1,PrefFlows!$B:$B,$B27)+$AC27))+$AF27*(1-(SUMIFS(PrefFlows!$C:$C,PrefFlows!$A:$A,$T$1,PrefFlows!$B:$B,$B27)+$AC27))+$AG27*(1-(SUMIFS(PrefFlows!$C:$C,PrefFlows!$A:$A,$U$1,PrefFlows!$B:$B,$B27)+$AC27)),2)</f>
        <v>2.16</v>
      </c>
      <c r="AJ27" s="4">
        <f t="shared" si="16"/>
        <v>35.54</v>
      </c>
      <c r="AK27" s="3">
        <f t="shared" si="17"/>
        <v>60.64</v>
      </c>
      <c r="AL27" s="4">
        <f t="shared" si="18"/>
        <v>36.950000000000003</v>
      </c>
      <c r="AM27" s="3">
        <f t="shared" si="18"/>
        <v>63.05</v>
      </c>
      <c r="AN27" s="1">
        <f t="shared" si="0"/>
        <v>-12.71</v>
      </c>
      <c r="AO27" s="1">
        <f t="shared" si="1"/>
        <v>-12.99</v>
      </c>
      <c r="AP27" s="3">
        <f t="shared" si="2"/>
        <v>-13.05</v>
      </c>
      <c r="AQ27" s="1" t="b">
        <f t="shared" si="19"/>
        <v>0</v>
      </c>
      <c r="AR27" s="1" t="b">
        <f t="shared" si="19"/>
        <v>0</v>
      </c>
      <c r="AS27" s="3" t="b">
        <f t="shared" si="20"/>
        <v>0</v>
      </c>
      <c r="AT27" s="1">
        <f t="shared" si="21"/>
        <v>-0.27999999999999936</v>
      </c>
      <c r="AU27" s="1">
        <f t="shared" si="21"/>
        <v>-0.33999999999999986</v>
      </c>
      <c r="AV27" s="3">
        <f t="shared" si="22"/>
        <v>6.0000000000000497E-2</v>
      </c>
      <c r="AW27" s="1">
        <f>ROUND(IF($B27="NSW",N27*Meta!$B$6,N27),1)</f>
        <v>2960</v>
      </c>
      <c r="AX27" s="3">
        <f t="shared" si="3"/>
        <v>82835.3</v>
      </c>
    </row>
    <row r="28" spans="1:50" x14ac:dyDescent="0.55000000000000004">
      <c r="A28" s="2" t="s">
        <v>39</v>
      </c>
      <c r="B28" s="3" t="s">
        <v>9</v>
      </c>
      <c r="C28" s="4">
        <v>35.85</v>
      </c>
      <c r="D28" s="5">
        <v>50.15</v>
      </c>
      <c r="E28" s="5">
        <v>0</v>
      </c>
      <c r="F28" s="5">
        <v>4.1900000000000004</v>
      </c>
      <c r="G28" s="5">
        <v>0</v>
      </c>
      <c r="H28" s="5">
        <v>7.32</v>
      </c>
      <c r="I28" s="5">
        <v>2.4900000000000002</v>
      </c>
      <c r="J28" s="3">
        <f t="shared" si="4"/>
        <v>6.68</v>
      </c>
      <c r="K28" s="4">
        <v>55.93</v>
      </c>
      <c r="L28" s="3">
        <v>44.07</v>
      </c>
      <c r="M28" s="4">
        <v>85927</v>
      </c>
      <c r="N28" s="5">
        <v>2389</v>
      </c>
      <c r="O28" s="3">
        <f t="shared" si="5"/>
        <v>83538</v>
      </c>
      <c r="P28" s="5">
        <f t="shared" si="6"/>
        <v>2.780266970800796E-2</v>
      </c>
      <c r="Q28" s="4">
        <f>ROUND($C28+MIN($D28:$E28)*(1-SUMIFS(PrefFlows!$C:$C,PrefFlows!$A:$A,INDEX($D$1:$E$1,MATCH(MIN($D28:$E28),$D28:$E28,0)),PrefFlows!$B:$B,$B28)),2)</f>
        <v>35.85</v>
      </c>
      <c r="R28" s="5">
        <f>ROUND(MAX($D28:$E28)+MIN($D28:$E28)*SUMIFS(PrefFlows!$C:$C,PrefFlows!$A:$A,INDEX($D$1:$E$1,MATCH(MIN($D28:$E28),$D28:$E28,0)),PrefFlows!$B:$B,$B28),2)</f>
        <v>50.15</v>
      </c>
      <c r="S28" s="5">
        <f t="shared" si="7"/>
        <v>0</v>
      </c>
      <c r="T28" s="5">
        <f t="shared" si="8"/>
        <v>7.32</v>
      </c>
      <c r="U28" s="3">
        <f t="shared" si="9"/>
        <v>6.68</v>
      </c>
      <c r="V28" s="6">
        <f t="shared" si="10"/>
        <v>14.3</v>
      </c>
      <c r="W28" s="4">
        <f>ROUND($S28*SUMIFS(PrefFlows!$C:$C,PrefFlows!$A:$A,$S$1,PrefFlows!$B:$B,$B28)+$T28*SUMIFS(PrefFlows!$C:$C,PrefFlows!$A:$A,$T$1,PrefFlows!$B:$B,$B28)+$U28*SUMIFS(PrefFlows!$C:$C,PrefFlows!$A:$A,$U$1,PrefFlows!$B:$B,$B28),2)</f>
        <v>4.8099999999999996</v>
      </c>
      <c r="X28" s="3">
        <f>ROUND($S28*(1-SUMIFS(PrefFlows!$C:$C,PrefFlows!$A:$A,$S$1,PrefFlows!$B:$B,$B28))+$T28*(1-SUMIFS(PrefFlows!$C:$C,PrefFlows!$A:$A,$T$1,PrefFlows!$B:$B,$B28))+$U28*(1-SUMIFS(PrefFlows!$C:$C,PrefFlows!$A:$A,$U$1,PrefFlows!$B:$B,$B28)),2)</f>
        <v>9.19</v>
      </c>
      <c r="Y28" s="4">
        <f t="shared" si="11"/>
        <v>5.78</v>
      </c>
      <c r="Z28" s="3">
        <f t="shared" si="12"/>
        <v>8.2200000000000006</v>
      </c>
      <c r="AA28" s="4">
        <f t="shared" si="13"/>
        <v>0.34360000000000002</v>
      </c>
      <c r="AB28" s="5">
        <f t="shared" si="14"/>
        <v>0.41289999999999999</v>
      </c>
      <c r="AC28" s="5">
        <f t="shared" si="15"/>
        <v>6.93E-2</v>
      </c>
      <c r="AD28" s="3">
        <v>9.0208324820720796E-3</v>
      </c>
      <c r="AE28" s="4">
        <f>ROUND(S28*(1-(Exhaust!$B$2+AD28)),2)</f>
        <v>0</v>
      </c>
      <c r="AF28" s="5">
        <f>ROUND(T28*(1-(Exhaust!$B$3+$AD28)),2)</f>
        <v>4.33</v>
      </c>
      <c r="AG28" s="3">
        <f>ROUND(U28*(1-(Exhaust!$B$4+$AD28)),2)</f>
        <v>3.28</v>
      </c>
      <c r="AH28" s="4">
        <f>ROUND($AE28*(SUMIFS(PrefFlows!$C:$C,PrefFlows!$A:$A,$S$1,PrefFlows!$B:$B,$B28)+$AC28)+$AF28*(SUMIFS(PrefFlows!$C:$C,PrefFlows!$A:$A,$T$1,PrefFlows!$B:$B,$B28)+$AC28)+$AG28*(SUMIFS(PrefFlows!$C:$C,PrefFlows!$A:$A,$U$1,PrefFlows!$B:$B,$B28)+$AC28),2)</f>
        <v>3.01</v>
      </c>
      <c r="AI28" s="3">
        <f>ROUND($AE28*(1-(SUMIFS(PrefFlows!$C:$C,PrefFlows!$A:$A,$S$1,PrefFlows!$B:$B,$B28)+$AC28))+$AF28*(1-(SUMIFS(PrefFlows!$C:$C,PrefFlows!$A:$A,$T$1,PrefFlows!$B:$B,$B28)+$AC28))+$AG28*(1-(SUMIFS(PrefFlows!$C:$C,PrefFlows!$A:$A,$U$1,PrefFlows!$B:$B,$B28)+$AC28)),2)</f>
        <v>4.5999999999999996</v>
      </c>
      <c r="AJ28" s="4">
        <f t="shared" si="16"/>
        <v>53.16</v>
      </c>
      <c r="AK28" s="3">
        <f t="shared" si="17"/>
        <v>40.450000000000003</v>
      </c>
      <c r="AL28" s="4">
        <f t="shared" si="18"/>
        <v>56.79</v>
      </c>
      <c r="AM28" s="3">
        <f t="shared" si="18"/>
        <v>43.21</v>
      </c>
      <c r="AN28" s="1">
        <f t="shared" si="0"/>
        <v>5.93</v>
      </c>
      <c r="AO28" s="1">
        <f t="shared" si="1"/>
        <v>6.98</v>
      </c>
      <c r="AP28" s="3">
        <f t="shared" si="2"/>
        <v>6.79</v>
      </c>
      <c r="AQ28" s="1" t="b">
        <f t="shared" si="19"/>
        <v>0</v>
      </c>
      <c r="AR28" s="1" t="b">
        <f t="shared" si="19"/>
        <v>0</v>
      </c>
      <c r="AS28" s="3" t="b">
        <f t="shared" si="20"/>
        <v>0</v>
      </c>
      <c r="AT28" s="1">
        <f t="shared" si="21"/>
        <v>1.0500000000000007</v>
      </c>
      <c r="AU28" s="1">
        <f t="shared" si="21"/>
        <v>0.86000000000000032</v>
      </c>
      <c r="AV28" s="3">
        <f t="shared" si="22"/>
        <v>0.19000000000000039</v>
      </c>
      <c r="AW28" s="1">
        <f>ROUND(IF($B28="NSW",N28*Meta!$B$6,N28),1)</f>
        <v>2389</v>
      </c>
      <c r="AX28" s="3">
        <f t="shared" si="3"/>
        <v>78989.600000000006</v>
      </c>
    </row>
    <row r="29" spans="1:50" x14ac:dyDescent="0.55000000000000004">
      <c r="A29" s="2" t="s">
        <v>40</v>
      </c>
      <c r="B29" s="3" t="s">
        <v>12</v>
      </c>
      <c r="C29" s="4">
        <v>53.08</v>
      </c>
      <c r="D29" s="5">
        <v>31.68</v>
      </c>
      <c r="E29" s="5">
        <v>0</v>
      </c>
      <c r="F29" s="5">
        <v>0</v>
      </c>
      <c r="G29" s="5">
        <v>0</v>
      </c>
      <c r="H29" s="5">
        <v>8.06</v>
      </c>
      <c r="I29" s="5">
        <v>7.18</v>
      </c>
      <c r="J29" s="3">
        <f t="shared" si="4"/>
        <v>7.18</v>
      </c>
      <c r="K29" s="4">
        <v>37.130000000000003</v>
      </c>
      <c r="L29" s="3">
        <v>62.87</v>
      </c>
      <c r="M29" s="4">
        <v>87249</v>
      </c>
      <c r="N29" s="5">
        <v>4066</v>
      </c>
      <c r="O29" s="3">
        <f t="shared" si="5"/>
        <v>83183</v>
      </c>
      <c r="P29" s="5">
        <f t="shared" si="6"/>
        <v>4.6602253320954967E-2</v>
      </c>
      <c r="Q29" s="4">
        <f>ROUND($C29+MIN($D29:$E29)*(1-SUMIFS(PrefFlows!$C:$C,PrefFlows!$A:$A,INDEX($D$1:$E$1,MATCH(MIN($D29:$E29),$D29:$E29,0)),PrefFlows!$B:$B,$B29)),2)</f>
        <v>53.08</v>
      </c>
      <c r="R29" s="5">
        <f>ROUND(MAX($D29:$E29)+MIN($D29:$E29)*SUMIFS(PrefFlows!$C:$C,PrefFlows!$A:$A,INDEX($D$1:$E$1,MATCH(MIN($D29:$E29),$D29:$E29,0)),PrefFlows!$B:$B,$B29),2)</f>
        <v>31.68</v>
      </c>
      <c r="S29" s="5">
        <f t="shared" si="7"/>
        <v>0</v>
      </c>
      <c r="T29" s="5">
        <f t="shared" si="8"/>
        <v>8.06</v>
      </c>
      <c r="U29" s="3">
        <f t="shared" si="9"/>
        <v>7.18</v>
      </c>
      <c r="V29" s="6">
        <f t="shared" si="10"/>
        <v>-21.4</v>
      </c>
      <c r="W29" s="4">
        <f>ROUND($S29*SUMIFS(PrefFlows!$C:$C,PrefFlows!$A:$A,$S$1,PrefFlows!$B:$B,$B29)+$T29*SUMIFS(PrefFlows!$C:$C,PrefFlows!$A:$A,$T$1,PrefFlows!$B:$B,$B29)+$U29*SUMIFS(PrefFlows!$C:$C,PrefFlows!$A:$A,$U$1,PrefFlows!$B:$B,$B29),2)</f>
        <v>5.34</v>
      </c>
      <c r="X29" s="3">
        <f>ROUND($S29*(1-SUMIFS(PrefFlows!$C:$C,PrefFlows!$A:$A,$S$1,PrefFlows!$B:$B,$B29))+$T29*(1-SUMIFS(PrefFlows!$C:$C,PrefFlows!$A:$A,$T$1,PrefFlows!$B:$B,$B29))+$U29*(1-SUMIFS(PrefFlows!$C:$C,PrefFlows!$A:$A,$U$1,PrefFlows!$B:$B,$B29)),2)</f>
        <v>9.9</v>
      </c>
      <c r="Y29" s="4">
        <f t="shared" si="11"/>
        <v>5.45</v>
      </c>
      <c r="Z29" s="3">
        <f t="shared" si="12"/>
        <v>9.7899999999999991</v>
      </c>
      <c r="AA29" s="4">
        <f t="shared" si="13"/>
        <v>0.35039999999999999</v>
      </c>
      <c r="AB29" s="5">
        <f t="shared" si="14"/>
        <v>0.35759999999999997</v>
      </c>
      <c r="AC29" s="5">
        <f t="shared" si="15"/>
        <v>7.1999999999999998E-3</v>
      </c>
      <c r="AD29" s="3">
        <v>7.0305358502150903E-2</v>
      </c>
      <c r="AE29" s="4">
        <f>ROUND(S29*(1-(Exhaust!$B$2+AD29)),2)</f>
        <v>0</v>
      </c>
      <c r="AF29" s="5">
        <f>ROUND(T29*(1-(Exhaust!$B$3+$AD29)),2)</f>
        <v>4.2699999999999996</v>
      </c>
      <c r="AG29" s="3">
        <f>ROUND(U29*(1-(Exhaust!$B$4+$AD29)),2)</f>
        <v>3.09</v>
      </c>
      <c r="AH29" s="4">
        <f>ROUND($AE29*(SUMIFS(PrefFlows!$C:$C,PrefFlows!$A:$A,$S$1,PrefFlows!$B:$B,$B29)+$AC29)+$AF29*(SUMIFS(PrefFlows!$C:$C,PrefFlows!$A:$A,$T$1,PrefFlows!$B:$B,$B29)+$AC29)+$AG29*(SUMIFS(PrefFlows!$C:$C,PrefFlows!$A:$A,$U$1,PrefFlows!$B:$B,$B29)+$AC29),2)</f>
        <v>2.5099999999999998</v>
      </c>
      <c r="AI29" s="3">
        <f>ROUND($AE29*(1-(SUMIFS(PrefFlows!$C:$C,PrefFlows!$A:$A,$S$1,PrefFlows!$B:$B,$B29)+$AC29))+$AF29*(1-(SUMIFS(PrefFlows!$C:$C,PrefFlows!$A:$A,$T$1,PrefFlows!$B:$B,$B29)+$AC29))+$AG29*(1-(SUMIFS(PrefFlows!$C:$C,PrefFlows!$A:$A,$U$1,PrefFlows!$B:$B,$B29)+$AC29)),2)</f>
        <v>4.8499999999999996</v>
      </c>
      <c r="AJ29" s="4">
        <f t="shared" si="16"/>
        <v>34.19</v>
      </c>
      <c r="AK29" s="3">
        <f t="shared" si="17"/>
        <v>57.93</v>
      </c>
      <c r="AL29" s="4">
        <f t="shared" si="18"/>
        <v>37.11</v>
      </c>
      <c r="AM29" s="3">
        <f t="shared" si="18"/>
        <v>62.89</v>
      </c>
      <c r="AN29" s="1">
        <f t="shared" si="0"/>
        <v>-12.87</v>
      </c>
      <c r="AO29" s="1">
        <f t="shared" si="1"/>
        <v>-12.76</v>
      </c>
      <c r="AP29" s="3">
        <f t="shared" si="2"/>
        <v>-12.89</v>
      </c>
      <c r="AQ29" s="1" t="b">
        <f t="shared" si="19"/>
        <v>0</v>
      </c>
      <c r="AR29" s="1" t="b">
        <f t="shared" si="19"/>
        <v>0</v>
      </c>
      <c r="AS29" s="3" t="b">
        <f t="shared" si="20"/>
        <v>0</v>
      </c>
      <c r="AT29" s="1">
        <f t="shared" si="21"/>
        <v>0.10999999999999943</v>
      </c>
      <c r="AU29" s="1">
        <f t="shared" si="21"/>
        <v>-2.000000000000135E-2</v>
      </c>
      <c r="AV29" s="3">
        <f t="shared" si="22"/>
        <v>0.13000000000000078</v>
      </c>
      <c r="AW29" s="1">
        <f>ROUND(IF($B29="NSW",N29*Meta!$B$6,N29),1)</f>
        <v>2671.4</v>
      </c>
      <c r="AX29" s="3">
        <f t="shared" si="3"/>
        <v>78781.899999999994</v>
      </c>
    </row>
    <row r="30" spans="1:50" x14ac:dyDescent="0.55000000000000004">
      <c r="A30" s="2" t="s">
        <v>41</v>
      </c>
      <c r="B30" s="3" t="s">
        <v>12</v>
      </c>
      <c r="C30" s="4">
        <v>64.180000000000007</v>
      </c>
      <c r="D30" s="5">
        <v>23.76</v>
      </c>
      <c r="E30" s="5">
        <v>0</v>
      </c>
      <c r="F30" s="5">
        <v>1.26</v>
      </c>
      <c r="G30" s="5">
        <v>1.47</v>
      </c>
      <c r="H30" s="5">
        <v>3.61</v>
      </c>
      <c r="I30" s="5">
        <v>7.19</v>
      </c>
      <c r="J30" s="3">
        <f t="shared" si="4"/>
        <v>6.98</v>
      </c>
      <c r="K30" s="4">
        <v>29.34</v>
      </c>
      <c r="L30" s="3">
        <v>70.66</v>
      </c>
      <c r="M30" s="4">
        <v>87324</v>
      </c>
      <c r="N30" s="5">
        <v>6976</v>
      </c>
      <c r="O30" s="3">
        <f t="shared" si="5"/>
        <v>80348</v>
      </c>
      <c r="P30" s="5">
        <f t="shared" si="6"/>
        <v>7.9886400073290273E-2</v>
      </c>
      <c r="Q30" s="4">
        <f>ROUND($C30+MIN($D30:$E30)*(1-SUMIFS(PrefFlows!$C:$C,PrefFlows!$A:$A,INDEX($D$1:$E$1,MATCH(MIN($D30:$E30),$D30:$E30,0)),PrefFlows!$B:$B,$B30)),2)</f>
        <v>64.180000000000007</v>
      </c>
      <c r="R30" s="5">
        <f>ROUND(MAX($D30:$E30)+MIN($D30:$E30)*SUMIFS(PrefFlows!$C:$C,PrefFlows!$A:$A,INDEX($D$1:$E$1,MATCH(MIN($D30:$E30),$D30:$E30,0)),PrefFlows!$B:$B,$B30),2)</f>
        <v>23.76</v>
      </c>
      <c r="S30" s="5">
        <f t="shared" si="7"/>
        <v>1.47</v>
      </c>
      <c r="T30" s="5">
        <f t="shared" si="8"/>
        <v>3.61</v>
      </c>
      <c r="U30" s="3">
        <f t="shared" si="9"/>
        <v>6.98</v>
      </c>
      <c r="V30" s="6">
        <f t="shared" si="10"/>
        <v>-40.42</v>
      </c>
      <c r="W30" s="4">
        <f>ROUND($S30*SUMIFS(PrefFlows!$C:$C,PrefFlows!$A:$A,$S$1,PrefFlows!$B:$B,$B30)+$T30*SUMIFS(PrefFlows!$C:$C,PrefFlows!$A:$A,$T$1,PrefFlows!$B:$B,$B30)+$U30*SUMIFS(PrefFlows!$C:$C,PrefFlows!$A:$A,$U$1,PrefFlows!$B:$B,$B30),2)</f>
        <v>5.24</v>
      </c>
      <c r="X30" s="3">
        <f>ROUND($S30*(1-SUMIFS(PrefFlows!$C:$C,PrefFlows!$A:$A,$S$1,PrefFlows!$B:$B,$B30))+$T30*(1-SUMIFS(PrefFlows!$C:$C,PrefFlows!$A:$A,$T$1,PrefFlows!$B:$B,$B30))+$U30*(1-SUMIFS(PrefFlows!$C:$C,PrefFlows!$A:$A,$U$1,PrefFlows!$B:$B,$B30)),2)</f>
        <v>6.82</v>
      </c>
      <c r="Y30" s="4">
        <f t="shared" si="11"/>
        <v>5.58</v>
      </c>
      <c r="Z30" s="3">
        <f t="shared" si="12"/>
        <v>6.48</v>
      </c>
      <c r="AA30" s="4">
        <f t="shared" si="13"/>
        <v>0.4345</v>
      </c>
      <c r="AB30" s="5">
        <f t="shared" si="14"/>
        <v>0.4627</v>
      </c>
      <c r="AC30" s="5">
        <f t="shared" si="15"/>
        <v>2.8199999999999999E-2</v>
      </c>
      <c r="AD30" s="3">
        <v>9.4121179236493505E-2</v>
      </c>
      <c r="AE30" s="4">
        <f>ROUND(S30*(1-(Exhaust!$B$2+AD30)),2)</f>
        <v>0.51</v>
      </c>
      <c r="AF30" s="5">
        <f>ROUND(T30*(1-(Exhaust!$B$3+$AD30)),2)</f>
        <v>1.83</v>
      </c>
      <c r="AG30" s="3">
        <f>ROUND(U30*(1-(Exhaust!$B$4+$AD30)),2)</f>
        <v>2.83</v>
      </c>
      <c r="AH30" s="4">
        <f>ROUND($AE30*(SUMIFS(PrefFlows!$C:$C,PrefFlows!$A:$A,$S$1,PrefFlows!$B:$B,$B30)+$AC30)+$AF30*(SUMIFS(PrefFlows!$C:$C,PrefFlows!$A:$A,$T$1,PrefFlows!$B:$B,$B30)+$AC30)+$AG30*(SUMIFS(PrefFlows!$C:$C,PrefFlows!$A:$A,$U$1,PrefFlows!$B:$B,$B30)+$AC30),2)</f>
        <v>2.29</v>
      </c>
      <c r="AI30" s="3">
        <f>ROUND($AE30*(1-(SUMIFS(PrefFlows!$C:$C,PrefFlows!$A:$A,$S$1,PrefFlows!$B:$B,$B30)+$AC30))+$AF30*(1-(SUMIFS(PrefFlows!$C:$C,PrefFlows!$A:$A,$T$1,PrefFlows!$B:$B,$B30)+$AC30))+$AG30*(1-(SUMIFS(PrefFlows!$C:$C,PrefFlows!$A:$A,$U$1,PrefFlows!$B:$B,$B30)+$AC30)),2)</f>
        <v>2.88</v>
      </c>
      <c r="AJ30" s="4">
        <f t="shared" si="16"/>
        <v>26.05</v>
      </c>
      <c r="AK30" s="3">
        <f t="shared" si="17"/>
        <v>67.06</v>
      </c>
      <c r="AL30" s="4">
        <f t="shared" si="18"/>
        <v>27.98</v>
      </c>
      <c r="AM30" s="3">
        <f t="shared" si="18"/>
        <v>72.02</v>
      </c>
      <c r="AN30" s="1">
        <f t="shared" si="0"/>
        <v>-20.66</v>
      </c>
      <c r="AO30" s="1">
        <f t="shared" si="1"/>
        <v>-21.7</v>
      </c>
      <c r="AP30" s="3">
        <f t="shared" si="2"/>
        <v>-22.02</v>
      </c>
      <c r="AQ30" s="1" t="b">
        <f t="shared" si="19"/>
        <v>0</v>
      </c>
      <c r="AR30" s="1" t="b">
        <f t="shared" si="19"/>
        <v>0</v>
      </c>
      <c r="AS30" s="3" t="b">
        <f t="shared" si="20"/>
        <v>0</v>
      </c>
      <c r="AT30" s="1">
        <f t="shared" si="21"/>
        <v>-1.0399999999999991</v>
      </c>
      <c r="AU30" s="1">
        <f t="shared" si="21"/>
        <v>-1.3599999999999994</v>
      </c>
      <c r="AV30" s="3">
        <f t="shared" si="22"/>
        <v>0.32000000000000028</v>
      </c>
      <c r="AW30" s="1">
        <f>ROUND(IF($B30="NSW",N30*Meta!$B$6,N30),1)</f>
        <v>4583.2</v>
      </c>
      <c r="AX30" s="3">
        <f t="shared" si="3"/>
        <v>78546.899999999994</v>
      </c>
    </row>
    <row r="31" spans="1:50" x14ac:dyDescent="0.55000000000000004">
      <c r="A31" s="2" t="s">
        <v>42</v>
      </c>
      <c r="B31" s="3" t="s">
        <v>9</v>
      </c>
      <c r="C31" s="4">
        <v>48.12</v>
      </c>
      <c r="D31" s="5">
        <v>39.450000000000003</v>
      </c>
      <c r="E31" s="5">
        <v>0</v>
      </c>
      <c r="F31" s="5">
        <v>2.4500000000000002</v>
      </c>
      <c r="G31" s="5">
        <v>0</v>
      </c>
      <c r="H31" s="5">
        <v>8.4700000000000006</v>
      </c>
      <c r="I31" s="5">
        <v>1.51</v>
      </c>
      <c r="J31" s="3">
        <f t="shared" si="4"/>
        <v>3.96</v>
      </c>
      <c r="K31" s="4">
        <v>42.62</v>
      </c>
      <c r="L31" s="3">
        <v>57.38</v>
      </c>
      <c r="M31" s="4">
        <v>82013</v>
      </c>
      <c r="N31" s="5">
        <v>2139</v>
      </c>
      <c r="O31" s="3">
        <f t="shared" si="5"/>
        <v>79874</v>
      </c>
      <c r="P31" s="5">
        <f t="shared" si="6"/>
        <v>2.60812310243498E-2</v>
      </c>
      <c r="Q31" s="4">
        <f>ROUND($C31+MIN($D31:$E31)*(1-SUMIFS(PrefFlows!$C:$C,PrefFlows!$A:$A,INDEX($D$1:$E$1,MATCH(MIN($D31:$E31),$D31:$E31,0)),PrefFlows!$B:$B,$B31)),2)</f>
        <v>48.12</v>
      </c>
      <c r="R31" s="5">
        <f>ROUND(MAX($D31:$E31)+MIN($D31:$E31)*SUMIFS(PrefFlows!$C:$C,PrefFlows!$A:$A,INDEX($D$1:$E$1,MATCH(MIN($D31:$E31),$D31:$E31,0)),PrefFlows!$B:$B,$B31),2)</f>
        <v>39.450000000000003</v>
      </c>
      <c r="S31" s="5">
        <f t="shared" si="7"/>
        <v>0</v>
      </c>
      <c r="T31" s="5">
        <f t="shared" si="8"/>
        <v>8.4700000000000006</v>
      </c>
      <c r="U31" s="3">
        <f t="shared" si="9"/>
        <v>3.96</v>
      </c>
      <c r="V31" s="6">
        <f t="shared" si="10"/>
        <v>-8.67</v>
      </c>
      <c r="W31" s="4">
        <f>ROUND($S31*SUMIFS(PrefFlows!$C:$C,PrefFlows!$A:$A,$S$1,PrefFlows!$B:$B,$B31)+$T31*SUMIFS(PrefFlows!$C:$C,PrefFlows!$A:$A,$T$1,PrefFlows!$B:$B,$B31)+$U31*SUMIFS(PrefFlows!$C:$C,PrefFlows!$A:$A,$U$1,PrefFlows!$B:$B,$B31),2)</f>
        <v>3.56</v>
      </c>
      <c r="X31" s="3">
        <f>ROUND($S31*(1-SUMIFS(PrefFlows!$C:$C,PrefFlows!$A:$A,$S$1,PrefFlows!$B:$B,$B31))+$T31*(1-SUMIFS(PrefFlows!$C:$C,PrefFlows!$A:$A,$T$1,PrefFlows!$B:$B,$B31))+$U31*(1-SUMIFS(PrefFlows!$C:$C,PrefFlows!$A:$A,$U$1,PrefFlows!$B:$B,$B31)),2)</f>
        <v>8.8699999999999992</v>
      </c>
      <c r="Y31" s="4">
        <f t="shared" si="11"/>
        <v>3.17</v>
      </c>
      <c r="Z31" s="3">
        <f t="shared" si="12"/>
        <v>9.26</v>
      </c>
      <c r="AA31" s="4">
        <f t="shared" si="13"/>
        <v>0.28639999999999999</v>
      </c>
      <c r="AB31" s="5">
        <f t="shared" si="14"/>
        <v>0.255</v>
      </c>
      <c r="AC31" s="5">
        <f t="shared" si="15"/>
        <v>-3.1399999999999997E-2</v>
      </c>
      <c r="AD31" s="3">
        <v>-5.9889118935793198E-2</v>
      </c>
      <c r="AE31" s="4">
        <f>ROUND(S31*(1-(Exhaust!$B$2+AD31)),2)</f>
        <v>0</v>
      </c>
      <c r="AF31" s="5">
        <f>ROUND(T31*(1-(Exhaust!$B$3+$AD31)),2)</f>
        <v>5.59</v>
      </c>
      <c r="AG31" s="3">
        <f>ROUND(U31*(1-(Exhaust!$B$4+$AD31)),2)</f>
        <v>2.2200000000000002</v>
      </c>
      <c r="AH31" s="4">
        <f>ROUND($AE31*(SUMIFS(PrefFlows!$C:$C,PrefFlows!$A:$A,$S$1,PrefFlows!$B:$B,$B31)+$AC31)+$AF31*(SUMIFS(PrefFlows!$C:$C,PrefFlows!$A:$A,$T$1,PrefFlows!$B:$B,$B31)+$AC31)+$AG31*(SUMIFS(PrefFlows!$C:$C,PrefFlows!$A:$A,$U$1,PrefFlows!$B:$B,$B31)+$AC31),2)</f>
        <v>1.89</v>
      </c>
      <c r="AI31" s="3">
        <f>ROUND($AE31*(1-(SUMIFS(PrefFlows!$C:$C,PrefFlows!$A:$A,$S$1,PrefFlows!$B:$B,$B31)+$AC31))+$AF31*(1-(SUMIFS(PrefFlows!$C:$C,PrefFlows!$A:$A,$T$1,PrefFlows!$B:$B,$B31)+$AC31))+$AG31*(1-(SUMIFS(PrefFlows!$C:$C,PrefFlows!$A:$A,$U$1,PrefFlows!$B:$B,$B31)+$AC31)),2)</f>
        <v>5.92</v>
      </c>
      <c r="AJ31" s="4">
        <f t="shared" si="16"/>
        <v>41.34</v>
      </c>
      <c r="AK31" s="3">
        <f t="shared" si="17"/>
        <v>54.04</v>
      </c>
      <c r="AL31" s="4">
        <f t="shared" si="18"/>
        <v>43.34</v>
      </c>
      <c r="AM31" s="3">
        <f t="shared" si="18"/>
        <v>56.66</v>
      </c>
      <c r="AN31" s="1">
        <f t="shared" si="0"/>
        <v>-7.38</v>
      </c>
      <c r="AO31" s="1">
        <f t="shared" si="1"/>
        <v>-6.29</v>
      </c>
      <c r="AP31" s="3">
        <f t="shared" si="2"/>
        <v>-6.66</v>
      </c>
      <c r="AQ31" s="1" t="b">
        <f t="shared" si="19"/>
        <v>0</v>
      </c>
      <c r="AR31" s="1" t="b">
        <f t="shared" si="19"/>
        <v>0</v>
      </c>
      <c r="AS31" s="3" t="b">
        <f t="shared" si="20"/>
        <v>0</v>
      </c>
      <c r="AT31" s="1">
        <f t="shared" si="21"/>
        <v>1.0899999999999999</v>
      </c>
      <c r="AU31" s="1">
        <f t="shared" si="21"/>
        <v>0.71999999999999975</v>
      </c>
      <c r="AV31" s="3">
        <f t="shared" si="22"/>
        <v>0.37000000000000011</v>
      </c>
      <c r="AW31" s="1">
        <f>ROUND(IF($B31="NSW",N31*Meta!$B$6,N31),1)</f>
        <v>2139</v>
      </c>
      <c r="AX31" s="3">
        <f t="shared" si="3"/>
        <v>76904.3</v>
      </c>
    </row>
    <row r="32" spans="1:50" x14ac:dyDescent="0.55000000000000004">
      <c r="A32" s="2" t="s">
        <v>43</v>
      </c>
      <c r="B32" s="3" t="s">
        <v>12</v>
      </c>
      <c r="C32" s="4">
        <v>35.909999999999997</v>
      </c>
      <c r="D32" s="5">
        <v>52.4</v>
      </c>
      <c r="E32" s="5">
        <v>0</v>
      </c>
      <c r="F32" s="5">
        <v>0.69</v>
      </c>
      <c r="G32" s="5">
        <v>1.3</v>
      </c>
      <c r="H32" s="5">
        <v>6.2</v>
      </c>
      <c r="I32" s="5">
        <v>4.8</v>
      </c>
      <c r="J32" s="3">
        <f t="shared" si="4"/>
        <v>4.1900000000000004</v>
      </c>
      <c r="K32" s="4">
        <v>56.57</v>
      </c>
      <c r="L32" s="3">
        <v>43.43</v>
      </c>
      <c r="M32" s="4">
        <v>89572</v>
      </c>
      <c r="N32" s="5">
        <v>3465</v>
      </c>
      <c r="O32" s="3">
        <f t="shared" si="5"/>
        <v>86107</v>
      </c>
      <c r="P32" s="5">
        <f t="shared" si="6"/>
        <v>3.8683963738668337E-2</v>
      </c>
      <c r="Q32" s="4">
        <f>ROUND($C32+MIN($D32:$E32)*(1-SUMIFS(PrefFlows!$C:$C,PrefFlows!$A:$A,INDEX($D$1:$E$1,MATCH(MIN($D32:$E32),$D32:$E32,0)),PrefFlows!$B:$B,$B32)),2)</f>
        <v>35.909999999999997</v>
      </c>
      <c r="R32" s="5">
        <f>ROUND(MAX($D32:$E32)+MIN($D32:$E32)*SUMIFS(PrefFlows!$C:$C,PrefFlows!$A:$A,INDEX($D$1:$E$1,MATCH(MIN($D32:$E32),$D32:$E32,0)),PrefFlows!$B:$B,$B32),2)</f>
        <v>52.4</v>
      </c>
      <c r="S32" s="5">
        <f t="shared" si="7"/>
        <v>1.3</v>
      </c>
      <c r="T32" s="5">
        <f t="shared" si="8"/>
        <v>6.2</v>
      </c>
      <c r="U32" s="3">
        <f t="shared" si="9"/>
        <v>4.1900000000000004</v>
      </c>
      <c r="V32" s="6">
        <f t="shared" si="10"/>
        <v>16.489999999999998</v>
      </c>
      <c r="W32" s="4">
        <f>ROUND($S32*SUMIFS(PrefFlows!$C:$C,PrefFlows!$A:$A,$S$1,PrefFlows!$B:$B,$B32)+$T32*SUMIFS(PrefFlows!$C:$C,PrefFlows!$A:$A,$T$1,PrefFlows!$B:$B,$B32)+$U32*SUMIFS(PrefFlows!$C:$C,PrefFlows!$A:$A,$U$1,PrefFlows!$B:$B,$B32),2)</f>
        <v>4.16</v>
      </c>
      <c r="X32" s="3">
        <f>ROUND($S32*(1-SUMIFS(PrefFlows!$C:$C,PrefFlows!$A:$A,$S$1,PrefFlows!$B:$B,$B32))+$T32*(1-SUMIFS(PrefFlows!$C:$C,PrefFlows!$A:$A,$T$1,PrefFlows!$B:$B,$B32))+$U32*(1-SUMIFS(PrefFlows!$C:$C,PrefFlows!$A:$A,$U$1,PrefFlows!$B:$B,$B32)),2)</f>
        <v>7.53</v>
      </c>
      <c r="Y32" s="4">
        <f t="shared" si="11"/>
        <v>4.17</v>
      </c>
      <c r="Z32" s="3">
        <f t="shared" si="12"/>
        <v>7.52</v>
      </c>
      <c r="AA32" s="4">
        <f t="shared" si="13"/>
        <v>0.35589999999999999</v>
      </c>
      <c r="AB32" s="5">
        <f t="shared" si="14"/>
        <v>0.35670000000000002</v>
      </c>
      <c r="AC32" s="5">
        <f t="shared" si="15"/>
        <v>8.0000000000000004E-4</v>
      </c>
      <c r="AD32" s="3">
        <v>4.3763517723891102E-2</v>
      </c>
      <c r="AE32" s="4">
        <f>ROUND(S32*(1-(Exhaust!$B$2+AD32)),2)</f>
        <v>0.52</v>
      </c>
      <c r="AF32" s="5">
        <f>ROUND(T32*(1-(Exhaust!$B$3+$AD32)),2)</f>
        <v>3.45</v>
      </c>
      <c r="AG32" s="3">
        <f>ROUND(U32*(1-(Exhaust!$B$4+$AD32)),2)</f>
        <v>1.91</v>
      </c>
      <c r="AH32" s="4">
        <f>ROUND($AE32*(SUMIFS(PrefFlows!$C:$C,PrefFlows!$A:$A,$S$1,PrefFlows!$B:$B,$B32)+$AC32)+$AF32*(SUMIFS(PrefFlows!$C:$C,PrefFlows!$A:$A,$T$1,PrefFlows!$B:$B,$B32)+$AC32)+$AG32*(SUMIFS(PrefFlows!$C:$C,PrefFlows!$A:$A,$U$1,PrefFlows!$B:$B,$B32)+$AC32),2)</f>
        <v>1.98</v>
      </c>
      <c r="AI32" s="3">
        <f>ROUND($AE32*(1-(SUMIFS(PrefFlows!$C:$C,PrefFlows!$A:$A,$S$1,PrefFlows!$B:$B,$B32)+$AC32))+$AF32*(1-(SUMIFS(PrefFlows!$C:$C,PrefFlows!$A:$A,$T$1,PrefFlows!$B:$B,$B32)+$AC32))+$AG32*(1-(SUMIFS(PrefFlows!$C:$C,PrefFlows!$A:$A,$U$1,PrefFlows!$B:$B,$B32)+$AC32)),2)</f>
        <v>3.9</v>
      </c>
      <c r="AJ32" s="4">
        <f t="shared" si="16"/>
        <v>54.38</v>
      </c>
      <c r="AK32" s="3">
        <f t="shared" si="17"/>
        <v>39.81</v>
      </c>
      <c r="AL32" s="4">
        <f t="shared" si="18"/>
        <v>57.73</v>
      </c>
      <c r="AM32" s="3">
        <f t="shared" si="18"/>
        <v>42.27</v>
      </c>
      <c r="AN32" s="1">
        <f t="shared" si="0"/>
        <v>6.57</v>
      </c>
      <c r="AO32" s="1">
        <f t="shared" si="1"/>
        <v>7.81</v>
      </c>
      <c r="AP32" s="3">
        <f t="shared" si="2"/>
        <v>7.73</v>
      </c>
      <c r="AQ32" s="1" t="b">
        <f t="shared" si="19"/>
        <v>0</v>
      </c>
      <c r="AR32" s="1" t="b">
        <f t="shared" si="19"/>
        <v>0</v>
      </c>
      <c r="AS32" s="3" t="b">
        <f t="shared" si="20"/>
        <v>0</v>
      </c>
      <c r="AT32" s="1">
        <f t="shared" si="21"/>
        <v>1.2399999999999993</v>
      </c>
      <c r="AU32" s="1">
        <f t="shared" si="21"/>
        <v>1.1600000000000001</v>
      </c>
      <c r="AV32" s="3">
        <f t="shared" si="22"/>
        <v>7.9999999999999183E-2</v>
      </c>
      <c r="AW32" s="1">
        <f>ROUND(IF($B32="NSW",N32*Meta!$B$6,N32),1)</f>
        <v>2276.5</v>
      </c>
      <c r="AX32" s="3">
        <f t="shared" si="3"/>
        <v>82980.800000000003</v>
      </c>
    </row>
    <row r="33" spans="1:50" x14ac:dyDescent="0.55000000000000004">
      <c r="A33" s="2" t="s">
        <v>44</v>
      </c>
      <c r="B33" s="3" t="s">
        <v>9</v>
      </c>
      <c r="C33" s="4">
        <v>41.91</v>
      </c>
      <c r="D33" s="5">
        <v>44.7</v>
      </c>
      <c r="E33" s="5">
        <v>0</v>
      </c>
      <c r="F33" s="5">
        <v>3.56</v>
      </c>
      <c r="G33" s="5">
        <v>0</v>
      </c>
      <c r="H33" s="5">
        <v>7.97</v>
      </c>
      <c r="I33" s="5">
        <v>1.86</v>
      </c>
      <c r="J33" s="3">
        <f t="shared" si="4"/>
        <v>5.42</v>
      </c>
      <c r="K33" s="4">
        <v>49.15</v>
      </c>
      <c r="L33" s="3">
        <v>50.85</v>
      </c>
      <c r="M33" s="4">
        <v>92741</v>
      </c>
      <c r="N33" s="5">
        <v>2347</v>
      </c>
      <c r="O33" s="3">
        <f t="shared" si="5"/>
        <v>90394</v>
      </c>
      <c r="P33" s="5">
        <f t="shared" si="6"/>
        <v>2.5307037879686439E-2</v>
      </c>
      <c r="Q33" s="4">
        <f>ROUND($C33+MIN($D33:$E33)*(1-SUMIFS(PrefFlows!$C:$C,PrefFlows!$A:$A,INDEX($D$1:$E$1,MATCH(MIN($D33:$E33),$D33:$E33,0)),PrefFlows!$B:$B,$B33)),2)</f>
        <v>41.91</v>
      </c>
      <c r="R33" s="5">
        <f>ROUND(MAX($D33:$E33)+MIN($D33:$E33)*SUMIFS(PrefFlows!$C:$C,PrefFlows!$A:$A,INDEX($D$1:$E$1,MATCH(MIN($D33:$E33),$D33:$E33,0)),PrefFlows!$B:$B,$B33),2)</f>
        <v>44.7</v>
      </c>
      <c r="S33" s="5">
        <f t="shared" si="7"/>
        <v>0</v>
      </c>
      <c r="T33" s="5">
        <f t="shared" si="8"/>
        <v>7.97</v>
      </c>
      <c r="U33" s="3">
        <f t="shared" si="9"/>
        <v>5.42</v>
      </c>
      <c r="V33" s="6">
        <f t="shared" si="10"/>
        <v>2.79</v>
      </c>
      <c r="W33" s="4">
        <f>ROUND($S33*SUMIFS(PrefFlows!$C:$C,PrefFlows!$A:$A,$S$1,PrefFlows!$B:$B,$B33)+$T33*SUMIFS(PrefFlows!$C:$C,PrefFlows!$A:$A,$T$1,PrefFlows!$B:$B,$B33)+$U33*SUMIFS(PrefFlows!$C:$C,PrefFlows!$A:$A,$U$1,PrefFlows!$B:$B,$B33),2)</f>
        <v>4.25</v>
      </c>
      <c r="X33" s="3">
        <f>ROUND($S33*(1-SUMIFS(PrefFlows!$C:$C,PrefFlows!$A:$A,$S$1,PrefFlows!$B:$B,$B33))+$T33*(1-SUMIFS(PrefFlows!$C:$C,PrefFlows!$A:$A,$T$1,PrefFlows!$B:$B,$B33))+$U33*(1-SUMIFS(PrefFlows!$C:$C,PrefFlows!$A:$A,$U$1,PrefFlows!$B:$B,$B33)),2)</f>
        <v>9.14</v>
      </c>
      <c r="Y33" s="4">
        <f t="shared" si="11"/>
        <v>4.45</v>
      </c>
      <c r="Z33" s="3">
        <f t="shared" si="12"/>
        <v>8.94</v>
      </c>
      <c r="AA33" s="4">
        <f t="shared" si="13"/>
        <v>0.31740000000000002</v>
      </c>
      <c r="AB33" s="5">
        <f t="shared" si="14"/>
        <v>0.33229999999999998</v>
      </c>
      <c r="AC33" s="5">
        <f t="shared" si="15"/>
        <v>1.49E-2</v>
      </c>
      <c r="AD33" s="3">
        <v>-4.32301183233594E-2</v>
      </c>
      <c r="AE33" s="4">
        <f>ROUND(S33*(1-(Exhaust!$B$2+AD33)),2)</f>
        <v>0</v>
      </c>
      <c r="AF33" s="5">
        <f>ROUND(T33*(1-(Exhaust!$B$3+$AD33)),2)</f>
        <v>5.13</v>
      </c>
      <c r="AG33" s="3">
        <f>ROUND(U33*(1-(Exhaust!$B$4+$AD33)),2)</f>
        <v>2.94</v>
      </c>
      <c r="AH33" s="4">
        <f>ROUND($AE33*(SUMIFS(PrefFlows!$C:$C,PrefFlows!$A:$A,$S$1,PrefFlows!$B:$B,$B33)+$AC33)+$AF33*(SUMIFS(PrefFlows!$C:$C,PrefFlows!$A:$A,$T$1,PrefFlows!$B:$B,$B33)+$AC33)+$AG33*(SUMIFS(PrefFlows!$C:$C,PrefFlows!$A:$A,$U$1,PrefFlows!$B:$B,$B33)+$AC33),2)</f>
        <v>2.56</v>
      </c>
      <c r="AI33" s="3">
        <f>ROUND($AE33*(1-(SUMIFS(PrefFlows!$C:$C,PrefFlows!$A:$A,$S$1,PrefFlows!$B:$B,$B33)+$AC33))+$AF33*(1-(SUMIFS(PrefFlows!$C:$C,PrefFlows!$A:$A,$T$1,PrefFlows!$B:$B,$B33)+$AC33))+$AG33*(1-(SUMIFS(PrefFlows!$C:$C,PrefFlows!$A:$A,$U$1,PrefFlows!$B:$B,$B33)+$AC33)),2)</f>
        <v>5.51</v>
      </c>
      <c r="AJ33" s="4">
        <f t="shared" si="16"/>
        <v>47.26</v>
      </c>
      <c r="AK33" s="3">
        <f t="shared" si="17"/>
        <v>47.42</v>
      </c>
      <c r="AL33" s="4">
        <f t="shared" si="18"/>
        <v>49.92</v>
      </c>
      <c r="AM33" s="3">
        <f t="shared" si="18"/>
        <v>50.08</v>
      </c>
      <c r="AN33" s="1">
        <f t="shared" si="0"/>
        <v>-0.85</v>
      </c>
      <c r="AO33" s="1">
        <f t="shared" si="1"/>
        <v>0.24</v>
      </c>
      <c r="AP33" s="3">
        <f t="shared" si="2"/>
        <v>-0.08</v>
      </c>
      <c r="AQ33" s="1" t="b">
        <f t="shared" si="19"/>
        <v>1</v>
      </c>
      <c r="AR33" s="1" t="b">
        <f t="shared" si="19"/>
        <v>0</v>
      </c>
      <c r="AS33" s="3" t="b">
        <f t="shared" si="20"/>
        <v>1</v>
      </c>
      <c r="AT33" s="1">
        <f t="shared" si="21"/>
        <v>1.0899999999999999</v>
      </c>
      <c r="AU33" s="1">
        <f t="shared" si="21"/>
        <v>0.77</v>
      </c>
      <c r="AV33" s="3">
        <f t="shared" si="22"/>
        <v>0.32</v>
      </c>
      <c r="AW33" s="1">
        <f>ROUND(IF($B33="NSW",N33*Meta!$B$6,N33),1)</f>
        <v>2347</v>
      </c>
      <c r="AX33" s="3">
        <f t="shared" si="3"/>
        <v>86369.7</v>
      </c>
    </row>
    <row r="34" spans="1:50" x14ac:dyDescent="0.55000000000000004">
      <c r="A34" s="2" t="s">
        <v>45</v>
      </c>
      <c r="B34" s="3" t="s">
        <v>9</v>
      </c>
      <c r="C34" s="4">
        <v>45.49</v>
      </c>
      <c r="D34" s="5">
        <v>29.61</v>
      </c>
      <c r="E34" s="5">
        <v>0</v>
      </c>
      <c r="F34" s="5">
        <v>3.96</v>
      </c>
      <c r="G34" s="5">
        <v>0</v>
      </c>
      <c r="H34" s="5">
        <v>5.91</v>
      </c>
      <c r="I34" s="5">
        <v>15.03</v>
      </c>
      <c r="J34" s="3">
        <f t="shared" si="4"/>
        <v>18.989999999999998</v>
      </c>
      <c r="K34" s="4">
        <v>41.07</v>
      </c>
      <c r="L34" s="3">
        <v>58.93</v>
      </c>
      <c r="M34" s="4">
        <v>86254</v>
      </c>
      <c r="N34" s="5">
        <v>3213</v>
      </c>
      <c r="O34" s="3">
        <f t="shared" si="5"/>
        <v>83041</v>
      </c>
      <c r="P34" s="5">
        <f t="shared" si="6"/>
        <v>3.7250446356111022E-2</v>
      </c>
      <c r="Q34" s="4">
        <f>ROUND($C34+MIN($D34:$E34)*(1-SUMIFS(PrefFlows!$C:$C,PrefFlows!$A:$A,INDEX($D$1:$E$1,MATCH(MIN($D34:$E34),$D34:$E34,0)),PrefFlows!$B:$B,$B34)),2)</f>
        <v>45.49</v>
      </c>
      <c r="R34" s="5">
        <f>ROUND(MAX($D34:$E34)+MIN($D34:$E34)*SUMIFS(PrefFlows!$C:$C,PrefFlows!$A:$A,INDEX($D$1:$E$1,MATCH(MIN($D34:$E34),$D34:$E34,0)),PrefFlows!$B:$B,$B34),2)</f>
        <v>29.61</v>
      </c>
      <c r="S34" s="5">
        <f t="shared" si="7"/>
        <v>0</v>
      </c>
      <c r="T34" s="5">
        <f t="shared" si="8"/>
        <v>5.91</v>
      </c>
      <c r="U34" s="3">
        <f t="shared" si="9"/>
        <v>18.989999999999998</v>
      </c>
      <c r="V34" s="6">
        <f t="shared" si="10"/>
        <v>-15.88</v>
      </c>
      <c r="W34" s="4">
        <f>ROUND($S34*SUMIFS(PrefFlows!$C:$C,PrefFlows!$A:$A,$S$1,PrefFlows!$B:$B,$B34)+$T34*SUMIFS(PrefFlows!$C:$C,PrefFlows!$A:$A,$T$1,PrefFlows!$B:$B,$B34)+$U34*SUMIFS(PrefFlows!$C:$C,PrefFlows!$A:$A,$U$1,PrefFlows!$B:$B,$B34),2)</f>
        <v>11.12</v>
      </c>
      <c r="X34" s="3">
        <f>ROUND($S34*(1-SUMIFS(PrefFlows!$C:$C,PrefFlows!$A:$A,$S$1,PrefFlows!$B:$B,$B34))+$T34*(1-SUMIFS(PrefFlows!$C:$C,PrefFlows!$A:$A,$T$1,PrefFlows!$B:$B,$B34))+$U34*(1-SUMIFS(PrefFlows!$C:$C,PrefFlows!$A:$A,$U$1,PrefFlows!$B:$B,$B34)),2)</f>
        <v>13.78</v>
      </c>
      <c r="Y34" s="4">
        <f t="shared" si="11"/>
        <v>11.46</v>
      </c>
      <c r="Z34" s="3">
        <f t="shared" si="12"/>
        <v>13.44</v>
      </c>
      <c r="AA34" s="4">
        <f t="shared" si="13"/>
        <v>0.4466</v>
      </c>
      <c r="AB34" s="5">
        <f t="shared" si="14"/>
        <v>0.4602</v>
      </c>
      <c r="AC34" s="5">
        <f t="shared" si="15"/>
        <v>1.3599999999999999E-2</v>
      </c>
      <c r="AD34" s="3">
        <v>1.93160798781804E-2</v>
      </c>
      <c r="AE34" s="4">
        <f>ROUND(S34*(1-(Exhaust!$B$2+AD34)),2)</f>
        <v>0</v>
      </c>
      <c r="AF34" s="5">
        <f>ROUND(T34*(1-(Exhaust!$B$3+$AD34)),2)</f>
        <v>3.43</v>
      </c>
      <c r="AG34" s="3">
        <f>ROUND(U34*(1-(Exhaust!$B$4+$AD34)),2)</f>
        <v>9.1300000000000008</v>
      </c>
      <c r="AH34" s="4">
        <f>ROUND($AE34*(SUMIFS(PrefFlows!$C:$C,PrefFlows!$A:$A,$S$1,PrefFlows!$B:$B,$B34)+$AC34)+$AF34*(SUMIFS(PrefFlows!$C:$C,PrefFlows!$A:$A,$T$1,PrefFlows!$B:$B,$B34)+$AC34)+$AG34*(SUMIFS(PrefFlows!$C:$C,PrefFlows!$A:$A,$U$1,PrefFlows!$B:$B,$B34)+$AC34),2)</f>
        <v>5.62</v>
      </c>
      <c r="AI34" s="3">
        <f>ROUND($AE34*(1-(SUMIFS(PrefFlows!$C:$C,PrefFlows!$A:$A,$S$1,PrefFlows!$B:$B,$B34)+$AC34))+$AF34*(1-(SUMIFS(PrefFlows!$C:$C,PrefFlows!$A:$A,$T$1,PrefFlows!$B:$B,$B34)+$AC34))+$AG34*(1-(SUMIFS(PrefFlows!$C:$C,PrefFlows!$A:$A,$U$1,PrefFlows!$B:$B,$B34)+$AC34)),2)</f>
        <v>6.94</v>
      </c>
      <c r="AJ34" s="4">
        <f t="shared" si="16"/>
        <v>35.229999999999997</v>
      </c>
      <c r="AK34" s="3">
        <f t="shared" si="17"/>
        <v>52.43</v>
      </c>
      <c r="AL34" s="4">
        <f t="shared" si="18"/>
        <v>40.19</v>
      </c>
      <c r="AM34" s="3">
        <f t="shared" si="18"/>
        <v>59.81</v>
      </c>
      <c r="AN34" s="1">
        <f t="shared" ref="AN34:AN65" si="23">ROUND(K34-50,2)</f>
        <v>-8.93</v>
      </c>
      <c r="AO34" s="1">
        <f t="shared" ref="AO34:AO65" si="24">ROUND((R34+Y34*0.52)/((R34+Y34*0.52)+(Q34+Z34*0.52))*100-50,2)</f>
        <v>-9.6</v>
      </c>
      <c r="AP34" s="3">
        <f t="shared" ref="AP34:AP65" si="25">ROUND(AL34-50,2)</f>
        <v>-9.81</v>
      </c>
      <c r="AQ34" s="1" t="b">
        <f t="shared" si="19"/>
        <v>0</v>
      </c>
      <c r="AR34" s="1" t="b">
        <f t="shared" si="19"/>
        <v>0</v>
      </c>
      <c r="AS34" s="3" t="b">
        <f t="shared" si="20"/>
        <v>0</v>
      </c>
      <c r="AT34" s="1">
        <f t="shared" si="21"/>
        <v>-0.66999999999999993</v>
      </c>
      <c r="AU34" s="1">
        <f t="shared" si="21"/>
        <v>-0.88000000000000078</v>
      </c>
      <c r="AV34" s="3">
        <f t="shared" si="22"/>
        <v>0.21000000000000085</v>
      </c>
      <c r="AW34" s="1">
        <f>ROUND(IF($B34="NSW",N34*Meta!$B$6,N34),1)</f>
        <v>3213</v>
      </c>
      <c r="AX34" s="3">
        <f t="shared" ref="AX34:AX65" si="26">ROUND((M34-AW34*($AW$153/$AW$152))*SUM($AJ34:$AK34)/100,1)</f>
        <v>73788.3</v>
      </c>
    </row>
    <row r="35" spans="1:50" x14ac:dyDescent="0.55000000000000004">
      <c r="A35" s="2" t="s">
        <v>46</v>
      </c>
      <c r="B35" s="3" t="s">
        <v>30</v>
      </c>
      <c r="C35" s="4">
        <v>41.99</v>
      </c>
      <c r="D35" s="5">
        <v>45.81</v>
      </c>
      <c r="E35" s="5">
        <v>0</v>
      </c>
      <c r="F35" s="5">
        <v>1.71</v>
      </c>
      <c r="G35" s="5">
        <v>0.92</v>
      </c>
      <c r="H35" s="5">
        <v>5.63</v>
      </c>
      <c r="I35" s="5">
        <v>4.8600000000000003</v>
      </c>
      <c r="J35" s="3">
        <f t="shared" si="4"/>
        <v>5.65</v>
      </c>
      <c r="K35" s="4">
        <v>51.71</v>
      </c>
      <c r="L35" s="3">
        <v>48.29</v>
      </c>
      <c r="M35" s="4">
        <v>88537</v>
      </c>
      <c r="N35" s="5">
        <v>3679</v>
      </c>
      <c r="O35" s="3">
        <f t="shared" si="5"/>
        <v>84858</v>
      </c>
      <c r="P35" s="5">
        <f t="shared" si="6"/>
        <v>4.1553248924178589E-2</v>
      </c>
      <c r="Q35" s="4">
        <f>ROUND($C35+MIN($D35:$E35)*(1-SUMIFS(PrefFlows!$C:$C,PrefFlows!$A:$A,INDEX($D$1:$E$1,MATCH(MIN($D35:$E35),$D35:$E35,0)),PrefFlows!$B:$B,$B35)),2)</f>
        <v>41.99</v>
      </c>
      <c r="R35" s="5">
        <f>ROUND(MAX($D35:$E35)+MIN($D35:$E35)*SUMIFS(PrefFlows!$C:$C,PrefFlows!$A:$A,INDEX($D$1:$E$1,MATCH(MIN($D35:$E35),$D35:$E35,0)),PrefFlows!$B:$B,$B35),2)</f>
        <v>45.81</v>
      </c>
      <c r="S35" s="5">
        <f t="shared" si="7"/>
        <v>0.92</v>
      </c>
      <c r="T35" s="5">
        <f t="shared" si="8"/>
        <v>5.63</v>
      </c>
      <c r="U35" s="3">
        <f t="shared" si="9"/>
        <v>5.65</v>
      </c>
      <c r="V35" s="6">
        <f t="shared" si="10"/>
        <v>3.82</v>
      </c>
      <c r="W35" s="4">
        <f>ROUND($S35*SUMIFS(PrefFlows!$C:$C,PrefFlows!$A:$A,$S$1,PrefFlows!$B:$B,$B35)+$T35*SUMIFS(PrefFlows!$C:$C,PrefFlows!$A:$A,$T$1,PrefFlows!$B:$B,$B35)+$U35*SUMIFS(PrefFlows!$C:$C,PrefFlows!$A:$A,$U$1,PrefFlows!$B:$B,$B35),2)</f>
        <v>4.76</v>
      </c>
      <c r="X35" s="3">
        <f>ROUND($S35*(1-SUMIFS(PrefFlows!$C:$C,PrefFlows!$A:$A,$S$1,PrefFlows!$B:$B,$B35))+$T35*(1-SUMIFS(PrefFlows!$C:$C,PrefFlows!$A:$A,$T$1,PrefFlows!$B:$B,$B35))+$U35*(1-SUMIFS(PrefFlows!$C:$C,PrefFlows!$A:$A,$U$1,PrefFlows!$B:$B,$B35)),2)</f>
        <v>7.44</v>
      </c>
      <c r="Y35" s="4">
        <f t="shared" si="11"/>
        <v>5.9</v>
      </c>
      <c r="Z35" s="3">
        <f t="shared" si="12"/>
        <v>6.3</v>
      </c>
      <c r="AA35" s="4">
        <f t="shared" si="13"/>
        <v>0.39019999999999999</v>
      </c>
      <c r="AB35" s="5">
        <f t="shared" si="14"/>
        <v>0.48359999999999997</v>
      </c>
      <c r="AC35" s="5">
        <f t="shared" si="15"/>
        <v>9.3399999999999997E-2</v>
      </c>
      <c r="AD35" s="3">
        <v>6.8716144105831004E-2</v>
      </c>
      <c r="AE35" s="4">
        <f>ROUND(S35*(1-(Exhaust!$B$2+AD35)),2)</f>
        <v>0.34</v>
      </c>
      <c r="AF35" s="5">
        <f>ROUND(T35*(1-(Exhaust!$B$3+$AD35)),2)</f>
        <v>2.99</v>
      </c>
      <c r="AG35" s="3">
        <f>ROUND(U35*(1-(Exhaust!$B$4+$AD35)),2)</f>
        <v>2.44</v>
      </c>
      <c r="AH35" s="4">
        <f>ROUND($AE35*(SUMIFS(PrefFlows!$C:$C,PrefFlows!$A:$A,$S$1,PrefFlows!$B:$B,$B35)+$AC35)+$AF35*(SUMIFS(PrefFlows!$C:$C,PrefFlows!$A:$A,$T$1,PrefFlows!$B:$B,$B35)+$AC35)+$AG35*(SUMIFS(PrefFlows!$C:$C,PrefFlows!$A:$A,$U$1,PrefFlows!$B:$B,$B35)+$AC35),2)</f>
        <v>2.7</v>
      </c>
      <c r="AI35" s="3">
        <f>ROUND($AE35*(1-(SUMIFS(PrefFlows!$C:$C,PrefFlows!$A:$A,$S$1,PrefFlows!$B:$B,$B35)+$AC35))+$AF35*(1-(SUMIFS(PrefFlows!$C:$C,PrefFlows!$A:$A,$T$1,PrefFlows!$B:$B,$B35)+$AC35))+$AG35*(1-(SUMIFS(PrefFlows!$C:$C,PrefFlows!$A:$A,$U$1,PrefFlows!$B:$B,$B35)+$AC35)),2)</f>
        <v>3.07</v>
      </c>
      <c r="AJ35" s="4">
        <f t="shared" si="16"/>
        <v>48.51</v>
      </c>
      <c r="AK35" s="3">
        <f t="shared" si="17"/>
        <v>45.06</v>
      </c>
      <c r="AL35" s="4">
        <f t="shared" si="18"/>
        <v>51.84</v>
      </c>
      <c r="AM35" s="3">
        <f t="shared" si="18"/>
        <v>48.16</v>
      </c>
      <c r="AN35" s="1">
        <f t="shared" si="23"/>
        <v>1.71</v>
      </c>
      <c r="AO35" s="1">
        <f t="shared" si="24"/>
        <v>1.92</v>
      </c>
      <c r="AP35" s="3">
        <f t="shared" si="25"/>
        <v>1.84</v>
      </c>
      <c r="AQ35" s="1" t="b">
        <f t="shared" si="19"/>
        <v>0</v>
      </c>
      <c r="AR35" s="1" t="b">
        <f t="shared" si="19"/>
        <v>0</v>
      </c>
      <c r="AS35" s="3" t="b">
        <f t="shared" si="20"/>
        <v>0</v>
      </c>
      <c r="AT35" s="1">
        <f t="shared" si="21"/>
        <v>0.20999999999999996</v>
      </c>
      <c r="AU35" s="1">
        <f t="shared" si="21"/>
        <v>0.13000000000000012</v>
      </c>
      <c r="AV35" s="3">
        <f t="shared" si="22"/>
        <v>7.9999999999999849E-2</v>
      </c>
      <c r="AW35" s="1">
        <f>ROUND(IF($B35="NSW",N35*Meta!$B$6,N35),1)</f>
        <v>3679</v>
      </c>
      <c r="AX35" s="3">
        <f t="shared" si="26"/>
        <v>80617.2</v>
      </c>
    </row>
    <row r="36" spans="1:50" x14ac:dyDescent="0.55000000000000004">
      <c r="A36" s="2" t="s">
        <v>47</v>
      </c>
      <c r="B36" s="3" t="s">
        <v>12</v>
      </c>
      <c r="C36" s="4">
        <v>38.08</v>
      </c>
      <c r="D36" s="5">
        <v>0</v>
      </c>
      <c r="E36" s="5">
        <v>46.54</v>
      </c>
      <c r="F36" s="5">
        <v>0.9</v>
      </c>
      <c r="G36" s="5">
        <v>0</v>
      </c>
      <c r="H36" s="5">
        <v>11.04</v>
      </c>
      <c r="I36" s="5">
        <v>3.44</v>
      </c>
      <c r="J36" s="3">
        <f t="shared" si="4"/>
        <v>4.34</v>
      </c>
      <c r="K36" s="4">
        <v>51.23</v>
      </c>
      <c r="L36" s="3">
        <v>48.77</v>
      </c>
      <c r="M36" s="4">
        <v>88267</v>
      </c>
      <c r="N36" s="5">
        <v>3510</v>
      </c>
      <c r="O36" s="3">
        <f t="shared" si="5"/>
        <v>84757</v>
      </c>
      <c r="P36" s="5">
        <f t="shared" si="6"/>
        <v>3.9765710854566261E-2</v>
      </c>
      <c r="Q36" s="4">
        <f>ROUND($C36+MIN($D36:$E36)*(1-SUMIFS(PrefFlows!$C:$C,PrefFlows!$A:$A,INDEX($D$1:$E$1,MATCH(MIN($D36:$E36),$D36:$E36,0)),PrefFlows!$B:$B,$B36)),2)</f>
        <v>38.08</v>
      </c>
      <c r="R36" s="5">
        <f>ROUND(MAX($D36:$E36)+MIN($D36:$E36)*SUMIFS(PrefFlows!$C:$C,PrefFlows!$A:$A,INDEX($D$1:$E$1,MATCH(MIN($D36:$E36),$D36:$E36,0)),PrefFlows!$B:$B,$B36),2)</f>
        <v>46.54</v>
      </c>
      <c r="S36" s="5">
        <f t="shared" si="7"/>
        <v>0</v>
      </c>
      <c r="T36" s="5">
        <f t="shared" si="8"/>
        <v>11.04</v>
      </c>
      <c r="U36" s="3">
        <f t="shared" si="9"/>
        <v>4.34</v>
      </c>
      <c r="V36" s="6">
        <f t="shared" si="10"/>
        <v>8.4600000000000009</v>
      </c>
      <c r="W36" s="4">
        <f>ROUND($S36*SUMIFS(PrefFlows!$C:$C,PrefFlows!$A:$A,$S$1,PrefFlows!$B:$B,$B36)+$T36*SUMIFS(PrefFlows!$C:$C,PrefFlows!$A:$A,$T$1,PrefFlows!$B:$B,$B36)+$U36*SUMIFS(PrefFlows!$C:$C,PrefFlows!$A:$A,$U$1,PrefFlows!$B:$B,$B36),2)</f>
        <v>4.42</v>
      </c>
      <c r="X36" s="3">
        <f>ROUND($S36*(1-SUMIFS(PrefFlows!$C:$C,PrefFlows!$A:$A,$S$1,PrefFlows!$B:$B,$B36))+$T36*(1-SUMIFS(PrefFlows!$C:$C,PrefFlows!$A:$A,$T$1,PrefFlows!$B:$B,$B36))+$U36*(1-SUMIFS(PrefFlows!$C:$C,PrefFlows!$A:$A,$U$1,PrefFlows!$B:$B,$B36)),2)</f>
        <v>10.96</v>
      </c>
      <c r="Y36" s="4">
        <f t="shared" si="11"/>
        <v>4.6900000000000004</v>
      </c>
      <c r="Z36" s="3">
        <f t="shared" si="12"/>
        <v>10.69</v>
      </c>
      <c r="AA36" s="4">
        <f t="shared" si="13"/>
        <v>0.28739999999999999</v>
      </c>
      <c r="AB36" s="5">
        <f t="shared" si="14"/>
        <v>0.3049</v>
      </c>
      <c r="AC36" s="5">
        <f t="shared" si="15"/>
        <v>1.7500000000000002E-2</v>
      </c>
      <c r="AD36" s="3">
        <v>1.9015026286534901E-2</v>
      </c>
      <c r="AE36" s="4">
        <f>ROUND(S36*(1-(Exhaust!$B$2+AD36)),2)</f>
        <v>0</v>
      </c>
      <c r="AF36" s="5">
        <f>ROUND(T36*(1-(Exhaust!$B$3+$AD36)),2)</f>
        <v>6.41</v>
      </c>
      <c r="AG36" s="3">
        <f>ROUND(U36*(1-(Exhaust!$B$4+$AD36)),2)</f>
        <v>2.09</v>
      </c>
      <c r="AH36" s="4">
        <f>ROUND($AE36*(SUMIFS(PrefFlows!$C:$C,PrefFlows!$A:$A,$S$1,PrefFlows!$B:$B,$B36)+$AC36)+$AF36*(SUMIFS(PrefFlows!$C:$C,PrefFlows!$A:$A,$T$1,PrefFlows!$B:$B,$B36)+$AC36)+$AG36*(SUMIFS(PrefFlows!$C:$C,PrefFlows!$A:$A,$U$1,PrefFlows!$B:$B,$B36)+$AC36),2)</f>
        <v>2.4900000000000002</v>
      </c>
      <c r="AI36" s="3">
        <f>ROUND($AE36*(1-(SUMIFS(PrefFlows!$C:$C,PrefFlows!$A:$A,$S$1,PrefFlows!$B:$B,$B36)+$AC36))+$AF36*(1-(SUMIFS(PrefFlows!$C:$C,PrefFlows!$A:$A,$T$1,PrefFlows!$B:$B,$B36)+$AC36))+$AG36*(1-(SUMIFS(PrefFlows!$C:$C,PrefFlows!$A:$A,$U$1,PrefFlows!$B:$B,$B36)+$AC36)),2)</f>
        <v>6.01</v>
      </c>
      <c r="AJ36" s="4">
        <f t="shared" si="16"/>
        <v>49.03</v>
      </c>
      <c r="AK36" s="3">
        <f t="shared" si="17"/>
        <v>44.09</v>
      </c>
      <c r="AL36" s="4">
        <f t="shared" si="18"/>
        <v>52.65</v>
      </c>
      <c r="AM36" s="3">
        <f t="shared" si="18"/>
        <v>47.35</v>
      </c>
      <c r="AN36" s="1">
        <f t="shared" si="23"/>
        <v>1.23</v>
      </c>
      <c r="AO36" s="1">
        <f t="shared" si="24"/>
        <v>2.88</v>
      </c>
      <c r="AP36" s="3">
        <f t="shared" si="25"/>
        <v>2.65</v>
      </c>
      <c r="AQ36" s="1" t="b">
        <f t="shared" si="19"/>
        <v>0</v>
      </c>
      <c r="AR36" s="1" t="b">
        <f t="shared" si="19"/>
        <v>0</v>
      </c>
      <c r="AS36" s="3" t="b">
        <f t="shared" si="20"/>
        <v>0</v>
      </c>
      <c r="AT36" s="1">
        <f t="shared" si="21"/>
        <v>1.65</v>
      </c>
      <c r="AU36" s="1">
        <f t="shared" si="21"/>
        <v>1.42</v>
      </c>
      <c r="AV36" s="3">
        <f t="shared" si="22"/>
        <v>0.22999999999999998</v>
      </c>
      <c r="AW36" s="1">
        <f>ROUND(IF($B36="NSW",N36*Meta!$B$6,N36),1)</f>
        <v>2306.1</v>
      </c>
      <c r="AX36" s="3">
        <f t="shared" si="26"/>
        <v>80805.100000000006</v>
      </c>
    </row>
    <row r="37" spans="1:50" x14ac:dyDescent="0.55000000000000004">
      <c r="A37" s="2" t="s">
        <v>48</v>
      </c>
      <c r="B37" s="3" t="s">
        <v>12</v>
      </c>
      <c r="C37" s="4">
        <v>53.23</v>
      </c>
      <c r="D37" s="5">
        <v>26.64</v>
      </c>
      <c r="E37" s="5">
        <v>0</v>
      </c>
      <c r="F37" s="5">
        <v>1.43</v>
      </c>
      <c r="G37" s="5">
        <v>0</v>
      </c>
      <c r="H37" s="5">
        <v>14.63</v>
      </c>
      <c r="I37" s="5">
        <v>4.07</v>
      </c>
      <c r="J37" s="3">
        <f t="shared" si="4"/>
        <v>5.5</v>
      </c>
      <c r="K37" s="4">
        <v>31.87</v>
      </c>
      <c r="L37" s="3">
        <v>68.13</v>
      </c>
      <c r="M37" s="4">
        <v>87700</v>
      </c>
      <c r="N37" s="5">
        <v>3471</v>
      </c>
      <c r="O37" s="3">
        <f t="shared" si="5"/>
        <v>84229</v>
      </c>
      <c r="P37" s="5">
        <f t="shared" si="6"/>
        <v>3.9578107183580388E-2</v>
      </c>
      <c r="Q37" s="4">
        <f>ROUND($C37+MIN($D37:$E37)*(1-SUMIFS(PrefFlows!$C:$C,PrefFlows!$A:$A,INDEX($D$1:$E$1,MATCH(MIN($D37:$E37),$D37:$E37,0)),PrefFlows!$B:$B,$B37)),2)</f>
        <v>53.23</v>
      </c>
      <c r="R37" s="5">
        <f>ROUND(MAX($D37:$E37)+MIN($D37:$E37)*SUMIFS(PrefFlows!$C:$C,PrefFlows!$A:$A,INDEX($D$1:$E$1,MATCH(MIN($D37:$E37),$D37:$E37,0)),PrefFlows!$B:$B,$B37),2)</f>
        <v>26.64</v>
      </c>
      <c r="S37" s="5">
        <f t="shared" si="7"/>
        <v>0</v>
      </c>
      <c r="T37" s="5">
        <f t="shared" si="8"/>
        <v>14.63</v>
      </c>
      <c r="U37" s="3">
        <f t="shared" si="9"/>
        <v>5.5</v>
      </c>
      <c r="V37" s="6">
        <f t="shared" si="10"/>
        <v>-26.59</v>
      </c>
      <c r="W37" s="4">
        <f>ROUND($S37*SUMIFS(PrefFlows!$C:$C,PrefFlows!$A:$A,$S$1,PrefFlows!$B:$B,$B37)+$T37*SUMIFS(PrefFlows!$C:$C,PrefFlows!$A:$A,$T$1,PrefFlows!$B:$B,$B37)+$U37*SUMIFS(PrefFlows!$C:$C,PrefFlows!$A:$A,$U$1,PrefFlows!$B:$B,$B37),2)</f>
        <v>5.72</v>
      </c>
      <c r="X37" s="3">
        <f>ROUND($S37*(1-SUMIFS(PrefFlows!$C:$C,PrefFlows!$A:$A,$S$1,PrefFlows!$B:$B,$B37))+$T37*(1-SUMIFS(PrefFlows!$C:$C,PrefFlows!$A:$A,$T$1,PrefFlows!$B:$B,$B37))+$U37*(1-SUMIFS(PrefFlows!$C:$C,PrefFlows!$A:$A,$U$1,PrefFlows!$B:$B,$B37)),2)</f>
        <v>14.41</v>
      </c>
      <c r="Y37" s="4">
        <f t="shared" si="11"/>
        <v>5.23</v>
      </c>
      <c r="Z37" s="3">
        <f t="shared" si="12"/>
        <v>14.9</v>
      </c>
      <c r="AA37" s="4">
        <f t="shared" si="13"/>
        <v>0.28420000000000001</v>
      </c>
      <c r="AB37" s="5">
        <f t="shared" si="14"/>
        <v>0.25979999999999998</v>
      </c>
      <c r="AC37" s="5">
        <f t="shared" si="15"/>
        <v>-2.4400000000000002E-2</v>
      </c>
      <c r="AD37" s="3">
        <v>1.4442413082555601E-2</v>
      </c>
      <c r="AE37" s="4">
        <f>ROUND(S37*(1-(Exhaust!$B$2+AD37)),2)</f>
        <v>0</v>
      </c>
      <c r="AF37" s="5">
        <f>ROUND(T37*(1-(Exhaust!$B$3+$AD37)),2)</f>
        <v>8.57</v>
      </c>
      <c r="AG37" s="3">
        <f>ROUND(U37*(1-(Exhaust!$B$4+$AD37)),2)</f>
        <v>2.67</v>
      </c>
      <c r="AH37" s="4">
        <f>ROUND($AE37*(SUMIFS(PrefFlows!$C:$C,PrefFlows!$A:$A,$S$1,PrefFlows!$B:$B,$B37)+$AC37)+$AF37*(SUMIFS(PrefFlows!$C:$C,PrefFlows!$A:$A,$T$1,PrefFlows!$B:$B,$B37)+$AC37)+$AG37*(SUMIFS(PrefFlows!$C:$C,PrefFlows!$A:$A,$U$1,PrefFlows!$B:$B,$B37)+$AC37),2)</f>
        <v>2.78</v>
      </c>
      <c r="AI37" s="3">
        <f>ROUND($AE37*(1-(SUMIFS(PrefFlows!$C:$C,PrefFlows!$A:$A,$S$1,PrefFlows!$B:$B,$B37)+$AC37))+$AF37*(1-(SUMIFS(PrefFlows!$C:$C,PrefFlows!$A:$A,$T$1,PrefFlows!$B:$B,$B37)+$AC37))+$AG37*(1-(SUMIFS(PrefFlows!$C:$C,PrefFlows!$A:$A,$U$1,PrefFlows!$B:$B,$B37)+$AC37)),2)</f>
        <v>8.4600000000000009</v>
      </c>
      <c r="AJ37" s="4">
        <f t="shared" si="16"/>
        <v>29.42</v>
      </c>
      <c r="AK37" s="3">
        <f t="shared" si="17"/>
        <v>61.69</v>
      </c>
      <c r="AL37" s="4">
        <f t="shared" si="18"/>
        <v>32.29</v>
      </c>
      <c r="AM37" s="3">
        <f t="shared" si="18"/>
        <v>67.709999999999994</v>
      </c>
      <c r="AN37" s="1">
        <f t="shared" si="23"/>
        <v>-18.13</v>
      </c>
      <c r="AO37" s="1">
        <f t="shared" si="24"/>
        <v>-17.5</v>
      </c>
      <c r="AP37" s="3">
        <f t="shared" si="25"/>
        <v>-17.71</v>
      </c>
      <c r="AQ37" s="1" t="b">
        <f t="shared" si="19"/>
        <v>0</v>
      </c>
      <c r="AR37" s="1" t="b">
        <f t="shared" si="19"/>
        <v>0</v>
      </c>
      <c r="AS37" s="3" t="b">
        <f t="shared" si="20"/>
        <v>0</v>
      </c>
      <c r="AT37" s="1">
        <f t="shared" si="21"/>
        <v>0.62999999999999901</v>
      </c>
      <c r="AU37" s="1">
        <f t="shared" si="21"/>
        <v>0.41999999999999815</v>
      </c>
      <c r="AV37" s="3">
        <f t="shared" si="22"/>
        <v>0.21000000000000085</v>
      </c>
      <c r="AW37" s="1">
        <f>ROUND(IF($B37="NSW",N37*Meta!$B$6,N37),1)</f>
        <v>2280.4</v>
      </c>
      <c r="AX37" s="3">
        <f t="shared" si="26"/>
        <v>78559.5</v>
      </c>
    </row>
    <row r="38" spans="1:50" x14ac:dyDescent="0.55000000000000004">
      <c r="A38" s="2" t="s">
        <v>49</v>
      </c>
      <c r="B38" s="3" t="s">
        <v>30</v>
      </c>
      <c r="C38" s="4">
        <v>24.53</v>
      </c>
      <c r="D38" s="5">
        <v>59.27</v>
      </c>
      <c r="E38" s="5">
        <v>0</v>
      </c>
      <c r="F38" s="5">
        <v>0.5</v>
      </c>
      <c r="G38" s="5">
        <v>0.42</v>
      </c>
      <c r="H38" s="5">
        <v>13.45</v>
      </c>
      <c r="I38" s="5">
        <v>2.25</v>
      </c>
      <c r="J38" s="3">
        <f t="shared" si="4"/>
        <v>2.33</v>
      </c>
      <c r="K38" s="4">
        <v>63.57</v>
      </c>
      <c r="L38" s="3">
        <v>36.43</v>
      </c>
      <c r="M38" s="4">
        <v>80694</v>
      </c>
      <c r="N38" s="5">
        <v>1542</v>
      </c>
      <c r="O38" s="3">
        <f t="shared" si="5"/>
        <v>79152</v>
      </c>
      <c r="P38" s="5">
        <f t="shared" si="6"/>
        <v>1.9109227451855157E-2</v>
      </c>
      <c r="Q38" s="4">
        <f>ROUND($C38+MIN($D38:$E38)*(1-SUMIFS(PrefFlows!$C:$C,PrefFlows!$A:$A,INDEX($D$1:$E$1,MATCH(MIN($D38:$E38),$D38:$E38,0)),PrefFlows!$B:$B,$B38)),2)</f>
        <v>24.53</v>
      </c>
      <c r="R38" s="5">
        <f>ROUND(MAX($D38:$E38)+MIN($D38:$E38)*SUMIFS(PrefFlows!$C:$C,PrefFlows!$A:$A,INDEX($D$1:$E$1,MATCH(MIN($D38:$E38),$D38:$E38,0)),PrefFlows!$B:$B,$B38),2)</f>
        <v>59.27</v>
      </c>
      <c r="S38" s="5">
        <f t="shared" si="7"/>
        <v>0.42</v>
      </c>
      <c r="T38" s="5">
        <f t="shared" si="8"/>
        <v>13.45</v>
      </c>
      <c r="U38" s="3">
        <f t="shared" si="9"/>
        <v>2.33</v>
      </c>
      <c r="V38" s="6">
        <f t="shared" si="10"/>
        <v>34.74</v>
      </c>
      <c r="W38" s="4">
        <f>ROUND($S38*SUMIFS(PrefFlows!$C:$C,PrefFlows!$A:$A,$S$1,PrefFlows!$B:$B,$B38)+$T38*SUMIFS(PrefFlows!$C:$C,PrefFlows!$A:$A,$T$1,PrefFlows!$B:$B,$B38)+$U38*SUMIFS(PrefFlows!$C:$C,PrefFlows!$A:$A,$U$1,PrefFlows!$B:$B,$B38),2)</f>
        <v>4.67</v>
      </c>
      <c r="X38" s="3">
        <f>ROUND($S38*(1-SUMIFS(PrefFlows!$C:$C,PrefFlows!$A:$A,$S$1,PrefFlows!$B:$B,$B38))+$T38*(1-SUMIFS(PrefFlows!$C:$C,PrefFlows!$A:$A,$T$1,PrefFlows!$B:$B,$B38))+$U38*(1-SUMIFS(PrefFlows!$C:$C,PrefFlows!$A:$A,$U$1,PrefFlows!$B:$B,$B38)),2)</f>
        <v>11.53</v>
      </c>
      <c r="Y38" s="4">
        <f t="shared" si="11"/>
        <v>4.3</v>
      </c>
      <c r="Z38" s="3">
        <f t="shared" si="12"/>
        <v>11.9</v>
      </c>
      <c r="AA38" s="4">
        <f t="shared" si="13"/>
        <v>0.2883</v>
      </c>
      <c r="AB38" s="5">
        <f t="shared" si="14"/>
        <v>0.26540000000000002</v>
      </c>
      <c r="AC38" s="5">
        <f t="shared" si="15"/>
        <v>-2.29E-2</v>
      </c>
      <c r="AD38" s="3">
        <v>-5.0894937284576801E-2</v>
      </c>
      <c r="AE38" s="4">
        <f>ROUND(S38*(1-(Exhaust!$B$2+AD38)),2)</f>
        <v>0.21</v>
      </c>
      <c r="AF38" s="5">
        <f>ROUND(T38*(1-(Exhaust!$B$3+$AD38)),2)</f>
        <v>8.75</v>
      </c>
      <c r="AG38" s="3">
        <f>ROUND(U38*(1-(Exhaust!$B$4+$AD38)),2)</f>
        <v>1.28</v>
      </c>
      <c r="AH38" s="4">
        <f>ROUND($AE38*(SUMIFS(PrefFlows!$C:$C,PrefFlows!$A:$A,$S$1,PrefFlows!$B:$B,$B38)+$AC38)+$AF38*(SUMIFS(PrefFlows!$C:$C,PrefFlows!$A:$A,$T$1,PrefFlows!$B:$B,$B38)+$AC38)+$AG38*(SUMIFS(PrefFlows!$C:$C,PrefFlows!$A:$A,$U$1,PrefFlows!$B:$B,$B38)+$AC38),2)</f>
        <v>2.65</v>
      </c>
      <c r="AI38" s="3">
        <f>ROUND($AE38*(1-(SUMIFS(PrefFlows!$C:$C,PrefFlows!$A:$A,$S$1,PrefFlows!$B:$B,$B38)+$AC38))+$AF38*(1-(SUMIFS(PrefFlows!$C:$C,PrefFlows!$A:$A,$T$1,PrefFlows!$B:$B,$B38)+$AC38))+$AG38*(1-(SUMIFS(PrefFlows!$C:$C,PrefFlows!$A:$A,$U$1,PrefFlows!$B:$B,$B38)+$AC38)),2)</f>
        <v>7.59</v>
      </c>
      <c r="AJ38" s="4">
        <f t="shared" si="16"/>
        <v>61.92</v>
      </c>
      <c r="AK38" s="3">
        <f t="shared" si="17"/>
        <v>32.119999999999997</v>
      </c>
      <c r="AL38" s="4">
        <f t="shared" si="18"/>
        <v>65.84</v>
      </c>
      <c r="AM38" s="3">
        <f t="shared" si="18"/>
        <v>34.159999999999997</v>
      </c>
      <c r="AN38" s="1">
        <f t="shared" si="23"/>
        <v>13.57</v>
      </c>
      <c r="AO38" s="1">
        <f t="shared" si="24"/>
        <v>16.690000000000001</v>
      </c>
      <c r="AP38" s="3">
        <f t="shared" si="25"/>
        <v>15.84</v>
      </c>
      <c r="AQ38" s="1" t="b">
        <f t="shared" si="19"/>
        <v>0</v>
      </c>
      <c r="AR38" s="1" t="b">
        <f t="shared" si="19"/>
        <v>0</v>
      </c>
      <c r="AS38" s="3" t="b">
        <f t="shared" si="20"/>
        <v>0</v>
      </c>
      <c r="AT38" s="1">
        <f t="shared" si="21"/>
        <v>3.120000000000001</v>
      </c>
      <c r="AU38" s="1">
        <f t="shared" si="21"/>
        <v>2.2699999999999996</v>
      </c>
      <c r="AV38" s="3">
        <f t="shared" si="22"/>
        <v>0.85000000000000142</v>
      </c>
      <c r="AW38" s="1">
        <f>ROUND(IF($B38="NSW",N38*Meta!$B$6,N38),1)</f>
        <v>1542</v>
      </c>
      <c r="AX38" s="3">
        <f t="shared" si="26"/>
        <v>74946.600000000006</v>
      </c>
    </row>
    <row r="39" spans="1:50" x14ac:dyDescent="0.55000000000000004">
      <c r="A39" s="2" t="s">
        <v>50</v>
      </c>
      <c r="B39" s="3" t="s">
        <v>22</v>
      </c>
      <c r="C39" s="4">
        <v>48.09</v>
      </c>
      <c r="D39" s="5">
        <v>0</v>
      </c>
      <c r="E39" s="5">
        <v>42.48</v>
      </c>
      <c r="F39" s="5">
        <v>3</v>
      </c>
      <c r="G39" s="5">
        <v>0</v>
      </c>
      <c r="H39" s="5">
        <v>4.37</v>
      </c>
      <c r="I39" s="5">
        <v>2.06</v>
      </c>
      <c r="J39" s="3">
        <f t="shared" si="4"/>
        <v>5.0599999999999996</v>
      </c>
      <c r="K39" s="4">
        <v>46.79</v>
      </c>
      <c r="L39" s="3">
        <v>53.21</v>
      </c>
      <c r="M39" s="4">
        <v>83062</v>
      </c>
      <c r="N39" s="5">
        <v>3156</v>
      </c>
      <c r="O39" s="3">
        <f t="shared" si="5"/>
        <v>79906</v>
      </c>
      <c r="P39" s="5">
        <f t="shared" si="6"/>
        <v>3.7995714044930295E-2</v>
      </c>
      <c r="Q39" s="4">
        <f>ROUND($C39+MIN($D39:$E39)*(1-SUMIFS(PrefFlows!$C:$C,PrefFlows!$A:$A,INDEX($D$1:$E$1,MATCH(MIN($D39:$E39),$D39:$E39,0)),PrefFlows!$B:$B,$B39)),2)</f>
        <v>48.09</v>
      </c>
      <c r="R39" s="5">
        <f>ROUND(MAX($D39:$E39)+MIN($D39:$E39)*SUMIFS(PrefFlows!$C:$C,PrefFlows!$A:$A,INDEX($D$1:$E$1,MATCH(MIN($D39:$E39),$D39:$E39,0)),PrefFlows!$B:$B,$B39),2)</f>
        <v>42.48</v>
      </c>
      <c r="S39" s="5">
        <f t="shared" si="7"/>
        <v>0</v>
      </c>
      <c r="T39" s="5">
        <f t="shared" si="8"/>
        <v>4.37</v>
      </c>
      <c r="U39" s="3">
        <f t="shared" si="9"/>
        <v>5.0599999999999996</v>
      </c>
      <c r="V39" s="6">
        <f t="shared" si="10"/>
        <v>-5.61</v>
      </c>
      <c r="W39" s="4">
        <f>ROUND($S39*SUMIFS(PrefFlows!$C:$C,PrefFlows!$A:$A,$S$1,PrefFlows!$B:$B,$B39)+$T39*SUMIFS(PrefFlows!$C:$C,PrefFlows!$A:$A,$T$1,PrefFlows!$B:$B,$B39)+$U39*SUMIFS(PrefFlows!$C:$C,PrefFlows!$A:$A,$U$1,PrefFlows!$B:$B,$B39),2)</f>
        <v>3.65</v>
      </c>
      <c r="X39" s="3">
        <f>ROUND($S39*(1-SUMIFS(PrefFlows!$C:$C,PrefFlows!$A:$A,$S$1,PrefFlows!$B:$B,$B39))+$T39*(1-SUMIFS(PrefFlows!$C:$C,PrefFlows!$A:$A,$T$1,PrefFlows!$B:$B,$B39))+$U39*(1-SUMIFS(PrefFlows!$C:$C,PrefFlows!$A:$A,$U$1,PrefFlows!$B:$B,$B39)),2)</f>
        <v>5.78</v>
      </c>
      <c r="Y39" s="4">
        <f t="shared" si="11"/>
        <v>4.3099999999999996</v>
      </c>
      <c r="Z39" s="3">
        <f t="shared" si="12"/>
        <v>5.12</v>
      </c>
      <c r="AA39" s="4">
        <f t="shared" si="13"/>
        <v>0.3871</v>
      </c>
      <c r="AB39" s="5">
        <f t="shared" si="14"/>
        <v>0.45710000000000001</v>
      </c>
      <c r="AC39" s="5">
        <f t="shared" si="15"/>
        <v>7.0000000000000007E-2</v>
      </c>
      <c r="AD39" s="3">
        <v>8.5951103626871597E-2</v>
      </c>
      <c r="AE39" s="4">
        <f>ROUND(S39*(1-(Exhaust!$B$2+AD39)),2)</f>
        <v>0</v>
      </c>
      <c r="AF39" s="5">
        <f>ROUND(T39*(1-(Exhaust!$B$3+$AD39)),2)</f>
        <v>2.25</v>
      </c>
      <c r="AG39" s="3">
        <f>ROUND(U39*(1-(Exhaust!$B$4+$AD39)),2)</f>
        <v>2.1</v>
      </c>
      <c r="AH39" s="4">
        <f>ROUND($AE39*(SUMIFS(PrefFlows!$C:$C,PrefFlows!$A:$A,$S$1,PrefFlows!$B:$B,$B39)+$AC39)+$AF39*(SUMIFS(PrefFlows!$C:$C,PrefFlows!$A:$A,$T$1,PrefFlows!$B:$B,$B39)+$AC39)+$AG39*(SUMIFS(PrefFlows!$C:$C,PrefFlows!$A:$A,$U$1,PrefFlows!$B:$B,$B39)+$AC39),2)</f>
        <v>1.93</v>
      </c>
      <c r="AI39" s="3">
        <f>ROUND($AE39*(1-(SUMIFS(PrefFlows!$C:$C,PrefFlows!$A:$A,$S$1,PrefFlows!$B:$B,$B39)+$AC39))+$AF39*(1-(SUMIFS(PrefFlows!$C:$C,PrefFlows!$A:$A,$T$1,PrefFlows!$B:$B,$B39)+$AC39))+$AG39*(1-(SUMIFS(PrefFlows!$C:$C,PrefFlows!$A:$A,$U$1,PrefFlows!$B:$B,$B39)+$AC39)),2)</f>
        <v>2.42</v>
      </c>
      <c r="AJ39" s="4">
        <f t="shared" si="16"/>
        <v>44.41</v>
      </c>
      <c r="AK39" s="3">
        <f t="shared" si="17"/>
        <v>50.51</v>
      </c>
      <c r="AL39" s="4">
        <f t="shared" si="18"/>
        <v>46.79</v>
      </c>
      <c r="AM39" s="3">
        <f t="shared" si="18"/>
        <v>53.21</v>
      </c>
      <c r="AN39" s="1">
        <f t="shared" si="23"/>
        <v>-3.21</v>
      </c>
      <c r="AO39" s="1">
        <f t="shared" si="24"/>
        <v>-3.16</v>
      </c>
      <c r="AP39" s="3">
        <f t="shared" si="25"/>
        <v>-3.21</v>
      </c>
      <c r="AQ39" s="1" t="b">
        <f t="shared" si="19"/>
        <v>0</v>
      </c>
      <c r="AR39" s="1" t="b">
        <f t="shared" si="19"/>
        <v>0</v>
      </c>
      <c r="AS39" s="3" t="b">
        <f t="shared" si="20"/>
        <v>0</v>
      </c>
      <c r="AT39" s="1">
        <f t="shared" si="21"/>
        <v>4.9999999999999822E-2</v>
      </c>
      <c r="AU39" s="1">
        <f t="shared" si="21"/>
        <v>0</v>
      </c>
      <c r="AV39" s="3">
        <f t="shared" si="22"/>
        <v>4.9999999999999822E-2</v>
      </c>
      <c r="AW39" s="1">
        <f>ROUND(IF($B39="NSW",N39*Meta!$B$6,N39),1)</f>
        <v>3156</v>
      </c>
      <c r="AX39" s="3">
        <f t="shared" si="26"/>
        <v>76904.600000000006</v>
      </c>
    </row>
    <row r="40" spans="1:50" x14ac:dyDescent="0.55000000000000004">
      <c r="A40" s="2" t="s">
        <v>51</v>
      </c>
      <c r="B40" s="3" t="s">
        <v>9</v>
      </c>
      <c r="C40" s="4">
        <v>41.86</v>
      </c>
      <c r="D40" s="5">
        <v>44.35</v>
      </c>
      <c r="E40" s="5">
        <v>0</v>
      </c>
      <c r="F40" s="5">
        <v>3.15</v>
      </c>
      <c r="G40" s="5">
        <v>0</v>
      </c>
      <c r="H40" s="5">
        <v>8.48</v>
      </c>
      <c r="I40" s="5">
        <v>2.16</v>
      </c>
      <c r="J40" s="3">
        <f t="shared" si="4"/>
        <v>5.31</v>
      </c>
      <c r="K40" s="4">
        <v>48.59</v>
      </c>
      <c r="L40" s="3">
        <v>51.41</v>
      </c>
      <c r="M40" s="4">
        <v>84066</v>
      </c>
      <c r="N40" s="5">
        <v>1756</v>
      </c>
      <c r="O40" s="3">
        <f t="shared" si="5"/>
        <v>82310</v>
      </c>
      <c r="P40" s="5">
        <f t="shared" si="6"/>
        <v>2.0888349630052577E-2</v>
      </c>
      <c r="Q40" s="4">
        <f>ROUND($C40+MIN($D40:$E40)*(1-SUMIFS(PrefFlows!$C:$C,PrefFlows!$A:$A,INDEX($D$1:$E$1,MATCH(MIN($D40:$E40),$D40:$E40,0)),PrefFlows!$B:$B,$B40)),2)</f>
        <v>41.86</v>
      </c>
      <c r="R40" s="5">
        <f>ROUND(MAX($D40:$E40)+MIN($D40:$E40)*SUMIFS(PrefFlows!$C:$C,PrefFlows!$A:$A,INDEX($D$1:$E$1,MATCH(MIN($D40:$E40),$D40:$E40,0)),PrefFlows!$B:$B,$B40),2)</f>
        <v>44.35</v>
      </c>
      <c r="S40" s="5">
        <f t="shared" si="7"/>
        <v>0</v>
      </c>
      <c r="T40" s="5">
        <f t="shared" si="8"/>
        <v>8.48</v>
      </c>
      <c r="U40" s="3">
        <f t="shared" si="9"/>
        <v>5.31</v>
      </c>
      <c r="V40" s="6">
        <f t="shared" si="10"/>
        <v>2.4900000000000002</v>
      </c>
      <c r="W40" s="4">
        <f>ROUND($S40*SUMIFS(PrefFlows!$C:$C,PrefFlows!$A:$A,$S$1,PrefFlows!$B:$B,$B40)+$T40*SUMIFS(PrefFlows!$C:$C,PrefFlows!$A:$A,$T$1,PrefFlows!$B:$B,$B40)+$U40*SUMIFS(PrefFlows!$C:$C,PrefFlows!$A:$A,$U$1,PrefFlows!$B:$B,$B40),2)</f>
        <v>4.28</v>
      </c>
      <c r="X40" s="3">
        <f>ROUND($S40*(1-SUMIFS(PrefFlows!$C:$C,PrefFlows!$A:$A,$S$1,PrefFlows!$B:$B,$B40))+$T40*(1-SUMIFS(PrefFlows!$C:$C,PrefFlows!$A:$A,$T$1,PrefFlows!$B:$B,$B40))+$U40*(1-SUMIFS(PrefFlows!$C:$C,PrefFlows!$A:$A,$U$1,PrefFlows!$B:$B,$B40)),2)</f>
        <v>9.51</v>
      </c>
      <c r="Y40" s="4">
        <f t="shared" si="11"/>
        <v>4.24</v>
      </c>
      <c r="Z40" s="3">
        <f t="shared" si="12"/>
        <v>9.5500000000000007</v>
      </c>
      <c r="AA40" s="4">
        <f t="shared" si="13"/>
        <v>0.31040000000000001</v>
      </c>
      <c r="AB40" s="5">
        <f t="shared" si="14"/>
        <v>0.3075</v>
      </c>
      <c r="AC40" s="5">
        <f t="shared" si="15"/>
        <v>-2.8999999999999998E-3</v>
      </c>
      <c r="AD40" s="3">
        <v>-0.11440981196352901</v>
      </c>
      <c r="AE40" s="4">
        <f>ROUND(S40*(1-(Exhaust!$B$2+AD40)),2)</f>
        <v>0</v>
      </c>
      <c r="AF40" s="5">
        <f>ROUND(T40*(1-(Exhaust!$B$3+$AD40)),2)</f>
        <v>6.06</v>
      </c>
      <c r="AG40" s="3">
        <f>ROUND(U40*(1-(Exhaust!$B$4+$AD40)),2)</f>
        <v>3.26</v>
      </c>
      <c r="AH40" s="4">
        <f>ROUND($AE40*(SUMIFS(PrefFlows!$C:$C,PrefFlows!$A:$A,$S$1,PrefFlows!$B:$B,$B40)+$AC40)+$AF40*(SUMIFS(PrefFlows!$C:$C,PrefFlows!$A:$A,$T$1,PrefFlows!$B:$B,$B40)+$AC40)+$AG40*(SUMIFS(PrefFlows!$C:$C,PrefFlows!$A:$A,$U$1,PrefFlows!$B:$B,$B40)+$AC40),2)</f>
        <v>2.75</v>
      </c>
      <c r="AI40" s="3">
        <f>ROUND($AE40*(1-(SUMIFS(PrefFlows!$C:$C,PrefFlows!$A:$A,$S$1,PrefFlows!$B:$B,$B40)+$AC40))+$AF40*(1-(SUMIFS(PrefFlows!$C:$C,PrefFlows!$A:$A,$T$1,PrefFlows!$B:$B,$B40)+$AC40))+$AG40*(1-(SUMIFS(PrefFlows!$C:$C,PrefFlows!$A:$A,$U$1,PrefFlows!$B:$B,$B40)+$AC40)),2)</f>
        <v>6.57</v>
      </c>
      <c r="AJ40" s="4">
        <f t="shared" si="16"/>
        <v>47.1</v>
      </c>
      <c r="AK40" s="3">
        <f t="shared" si="17"/>
        <v>48.43</v>
      </c>
      <c r="AL40" s="4">
        <f t="shared" si="18"/>
        <v>49.3</v>
      </c>
      <c r="AM40" s="3">
        <f t="shared" si="18"/>
        <v>50.7</v>
      </c>
      <c r="AN40" s="1">
        <f t="shared" si="23"/>
        <v>-1.41</v>
      </c>
      <c r="AO40" s="1">
        <f t="shared" si="24"/>
        <v>-0.15</v>
      </c>
      <c r="AP40" s="3">
        <f t="shared" si="25"/>
        <v>-0.7</v>
      </c>
      <c r="AQ40" s="1" t="b">
        <f t="shared" si="19"/>
        <v>0</v>
      </c>
      <c r="AR40" s="1" t="b">
        <f t="shared" si="19"/>
        <v>0</v>
      </c>
      <c r="AS40" s="3" t="b">
        <f t="shared" si="20"/>
        <v>0</v>
      </c>
      <c r="AT40" s="1">
        <f t="shared" si="21"/>
        <v>1.26</v>
      </c>
      <c r="AU40" s="1">
        <f t="shared" si="21"/>
        <v>0.71</v>
      </c>
      <c r="AV40" s="3">
        <f t="shared" si="22"/>
        <v>0.54999999999999993</v>
      </c>
      <c r="AW40" s="1">
        <f>ROUND(IF($B40="NSW",N40*Meta!$B$6,N40),1)</f>
        <v>1756</v>
      </c>
      <c r="AX40" s="3">
        <f t="shared" si="26"/>
        <v>79223.100000000006</v>
      </c>
    </row>
    <row r="41" spans="1:50" x14ac:dyDescent="0.55000000000000004">
      <c r="A41" s="2" t="s">
        <v>52</v>
      </c>
      <c r="B41" s="3" t="s">
        <v>16</v>
      </c>
      <c r="C41" s="4">
        <v>48.46</v>
      </c>
      <c r="D41" s="5">
        <v>29.66</v>
      </c>
      <c r="E41" s="5">
        <v>0</v>
      </c>
      <c r="F41" s="5">
        <v>2.13</v>
      </c>
      <c r="G41" s="5">
        <v>0</v>
      </c>
      <c r="H41" s="5">
        <v>18.600000000000001</v>
      </c>
      <c r="I41" s="5">
        <v>1.1499999999999999</v>
      </c>
      <c r="J41" s="3">
        <f t="shared" si="4"/>
        <v>3.28</v>
      </c>
      <c r="K41" s="4">
        <v>34.369999999999997</v>
      </c>
      <c r="L41" s="3">
        <v>65.63</v>
      </c>
      <c r="M41" s="4">
        <v>65610</v>
      </c>
      <c r="N41" s="5">
        <v>1640</v>
      </c>
      <c r="O41" s="3">
        <f t="shared" si="5"/>
        <v>63970</v>
      </c>
      <c r="P41" s="5">
        <f t="shared" si="6"/>
        <v>2.4996189605243104E-2</v>
      </c>
      <c r="Q41" s="4">
        <f>ROUND($C41+MIN($D41:$E41)*(1-SUMIFS(PrefFlows!$C:$C,PrefFlows!$A:$A,INDEX($D$1:$E$1,MATCH(MIN($D41:$E41),$D41:$E41,0)),PrefFlows!$B:$B,$B41)),2)</f>
        <v>48.46</v>
      </c>
      <c r="R41" s="5">
        <f>ROUND(MAX($D41:$E41)+MIN($D41:$E41)*SUMIFS(PrefFlows!$C:$C,PrefFlows!$A:$A,INDEX($D$1:$E$1,MATCH(MIN($D41:$E41),$D41:$E41,0)),PrefFlows!$B:$B,$B41),2)</f>
        <v>29.66</v>
      </c>
      <c r="S41" s="5">
        <f t="shared" si="7"/>
        <v>0</v>
      </c>
      <c r="T41" s="5">
        <f t="shared" si="8"/>
        <v>18.600000000000001</v>
      </c>
      <c r="U41" s="3">
        <f t="shared" si="9"/>
        <v>3.28</v>
      </c>
      <c r="V41" s="6">
        <f t="shared" si="10"/>
        <v>-18.8</v>
      </c>
      <c r="W41" s="4">
        <f>ROUND($S41*SUMIFS(PrefFlows!$C:$C,PrefFlows!$A:$A,$S$1,PrefFlows!$B:$B,$B41)+$T41*SUMIFS(PrefFlows!$C:$C,PrefFlows!$A:$A,$T$1,PrefFlows!$B:$B,$B41)+$U41*SUMIFS(PrefFlows!$C:$C,PrefFlows!$A:$A,$U$1,PrefFlows!$B:$B,$B41),2)</f>
        <v>5.84</v>
      </c>
      <c r="X41" s="3">
        <f>ROUND($S41*(1-SUMIFS(PrefFlows!$C:$C,PrefFlows!$A:$A,$S$1,PrefFlows!$B:$B,$B41))+$T41*(1-SUMIFS(PrefFlows!$C:$C,PrefFlows!$A:$A,$T$1,PrefFlows!$B:$B,$B41))+$U41*(1-SUMIFS(PrefFlows!$C:$C,PrefFlows!$A:$A,$U$1,PrefFlows!$B:$B,$B41)),2)</f>
        <v>16.04</v>
      </c>
      <c r="Y41" s="4">
        <f t="shared" si="11"/>
        <v>4.71</v>
      </c>
      <c r="Z41" s="3">
        <f t="shared" si="12"/>
        <v>17.170000000000002</v>
      </c>
      <c r="AA41" s="4">
        <f t="shared" si="13"/>
        <v>0.26690000000000003</v>
      </c>
      <c r="AB41" s="5">
        <f t="shared" si="14"/>
        <v>0.21529999999999999</v>
      </c>
      <c r="AC41" s="5">
        <f t="shared" si="15"/>
        <v>-5.16E-2</v>
      </c>
      <c r="AD41" s="3">
        <v>-4.2205785048854E-2</v>
      </c>
      <c r="AE41" s="4">
        <f>ROUND(S41*(1-(Exhaust!$B$2+AD41)),2)</f>
        <v>0</v>
      </c>
      <c r="AF41" s="5">
        <f>ROUND(T41*(1-(Exhaust!$B$3+$AD41)),2)</f>
        <v>11.95</v>
      </c>
      <c r="AG41" s="3">
        <f>ROUND(U41*(1-(Exhaust!$B$4+$AD41)),2)</f>
        <v>1.78</v>
      </c>
      <c r="AH41" s="4">
        <f>ROUND($AE41*(SUMIFS(PrefFlows!$C:$C,PrefFlows!$A:$A,$S$1,PrefFlows!$B:$B,$B41)+$AC41)+$AF41*(SUMIFS(PrefFlows!$C:$C,PrefFlows!$A:$A,$T$1,PrefFlows!$B:$B,$B41)+$AC41)+$AG41*(SUMIFS(PrefFlows!$C:$C,PrefFlows!$A:$A,$U$1,PrefFlows!$B:$B,$B41)+$AC41),2)</f>
        <v>2.86</v>
      </c>
      <c r="AI41" s="3">
        <f>ROUND($AE41*(1-(SUMIFS(PrefFlows!$C:$C,PrefFlows!$A:$A,$S$1,PrefFlows!$B:$B,$B41)+$AC41))+$AF41*(1-(SUMIFS(PrefFlows!$C:$C,PrefFlows!$A:$A,$T$1,PrefFlows!$B:$B,$B41)+$AC41))+$AG41*(1-(SUMIFS(PrefFlows!$C:$C,PrefFlows!$A:$A,$U$1,PrefFlows!$B:$B,$B41)+$AC41)),2)</f>
        <v>10.87</v>
      </c>
      <c r="AJ41" s="4">
        <f t="shared" si="16"/>
        <v>32.520000000000003</v>
      </c>
      <c r="AK41" s="3">
        <f t="shared" si="17"/>
        <v>59.33</v>
      </c>
      <c r="AL41" s="4">
        <f t="shared" si="18"/>
        <v>35.409999999999997</v>
      </c>
      <c r="AM41" s="3">
        <f t="shared" si="18"/>
        <v>64.59</v>
      </c>
      <c r="AN41" s="1">
        <f t="shared" si="23"/>
        <v>-15.63</v>
      </c>
      <c r="AO41" s="1">
        <f t="shared" si="24"/>
        <v>-14.12</v>
      </c>
      <c r="AP41" s="3">
        <f t="shared" si="25"/>
        <v>-14.59</v>
      </c>
      <c r="AQ41" s="1" t="b">
        <f t="shared" si="19"/>
        <v>0</v>
      </c>
      <c r="AR41" s="1" t="b">
        <f t="shared" si="19"/>
        <v>0</v>
      </c>
      <c r="AS41" s="3" t="b">
        <f t="shared" si="20"/>
        <v>0</v>
      </c>
      <c r="AT41" s="1">
        <f t="shared" si="21"/>
        <v>1.5100000000000016</v>
      </c>
      <c r="AU41" s="1">
        <f t="shared" si="21"/>
        <v>1.0400000000000009</v>
      </c>
      <c r="AV41" s="3">
        <f t="shared" si="22"/>
        <v>0.47000000000000064</v>
      </c>
      <c r="AW41" s="1">
        <f>ROUND(IF($B41="NSW",N41*Meta!$B$6,N41),1)</f>
        <v>1640</v>
      </c>
      <c r="AX41" s="3">
        <f t="shared" si="26"/>
        <v>59288.4</v>
      </c>
    </row>
    <row r="42" spans="1:50" x14ac:dyDescent="0.55000000000000004">
      <c r="A42" s="2" t="s">
        <v>53</v>
      </c>
      <c r="B42" s="3" t="s">
        <v>22</v>
      </c>
      <c r="C42" s="4">
        <v>43.67</v>
      </c>
      <c r="D42" s="5">
        <v>46.15</v>
      </c>
      <c r="E42" s="5">
        <v>0</v>
      </c>
      <c r="F42" s="5">
        <v>2.54</v>
      </c>
      <c r="G42" s="5">
        <v>0</v>
      </c>
      <c r="H42" s="5">
        <v>6</v>
      </c>
      <c r="I42" s="5">
        <v>1.64</v>
      </c>
      <c r="J42" s="3">
        <f t="shared" si="4"/>
        <v>4.18</v>
      </c>
      <c r="K42" s="4">
        <v>50.13</v>
      </c>
      <c r="L42" s="3">
        <v>49.87</v>
      </c>
      <c r="M42" s="4">
        <v>85827</v>
      </c>
      <c r="N42" s="5">
        <v>2380</v>
      </c>
      <c r="O42" s="3">
        <f t="shared" si="5"/>
        <v>83447</v>
      </c>
      <c r="P42" s="5">
        <f t="shared" si="6"/>
        <v>2.7730201451757606E-2</v>
      </c>
      <c r="Q42" s="4">
        <f>ROUND($C42+MIN($D42:$E42)*(1-SUMIFS(PrefFlows!$C:$C,PrefFlows!$A:$A,INDEX($D$1:$E$1,MATCH(MIN($D42:$E42),$D42:$E42,0)),PrefFlows!$B:$B,$B42)),2)</f>
        <v>43.67</v>
      </c>
      <c r="R42" s="5">
        <f>ROUND(MAX($D42:$E42)+MIN($D42:$E42)*SUMIFS(PrefFlows!$C:$C,PrefFlows!$A:$A,INDEX($D$1:$E$1,MATCH(MIN($D42:$E42),$D42:$E42,0)),PrefFlows!$B:$B,$B42),2)</f>
        <v>46.15</v>
      </c>
      <c r="S42" s="5">
        <f t="shared" si="7"/>
        <v>0</v>
      </c>
      <c r="T42" s="5">
        <f t="shared" si="8"/>
        <v>6</v>
      </c>
      <c r="U42" s="3">
        <f t="shared" si="9"/>
        <v>4.18</v>
      </c>
      <c r="V42" s="6">
        <f t="shared" si="10"/>
        <v>2.48</v>
      </c>
      <c r="W42" s="4">
        <f>ROUND($S42*SUMIFS(PrefFlows!$C:$C,PrefFlows!$A:$A,$S$1,PrefFlows!$B:$B,$B42)+$T42*SUMIFS(PrefFlows!$C:$C,PrefFlows!$A:$A,$T$1,PrefFlows!$B:$B,$B42)+$U42*SUMIFS(PrefFlows!$C:$C,PrefFlows!$A:$A,$U$1,PrefFlows!$B:$B,$B42),2)</f>
        <v>3.61</v>
      </c>
      <c r="X42" s="3">
        <f>ROUND($S42*(1-SUMIFS(PrefFlows!$C:$C,PrefFlows!$A:$A,$S$1,PrefFlows!$B:$B,$B42))+$T42*(1-SUMIFS(PrefFlows!$C:$C,PrefFlows!$A:$A,$T$1,PrefFlows!$B:$B,$B42))+$U42*(1-SUMIFS(PrefFlows!$C:$C,PrefFlows!$A:$A,$U$1,PrefFlows!$B:$B,$B42)),2)</f>
        <v>6.57</v>
      </c>
      <c r="Y42" s="4">
        <f t="shared" si="11"/>
        <v>3.98</v>
      </c>
      <c r="Z42" s="3">
        <f t="shared" si="12"/>
        <v>6.2</v>
      </c>
      <c r="AA42" s="4">
        <f t="shared" si="13"/>
        <v>0.35460000000000003</v>
      </c>
      <c r="AB42" s="5">
        <f t="shared" si="14"/>
        <v>0.39100000000000001</v>
      </c>
      <c r="AC42" s="5">
        <f t="shared" si="15"/>
        <v>3.6400000000000002E-2</v>
      </c>
      <c r="AD42" s="3">
        <v>-5.3474480681140503E-3</v>
      </c>
      <c r="AE42" s="4">
        <f>ROUND(S42*(1-(Exhaust!$B$2+AD42)),2)</f>
        <v>0</v>
      </c>
      <c r="AF42" s="5">
        <f>ROUND(T42*(1-(Exhaust!$B$3+$AD42)),2)</f>
        <v>3.63</v>
      </c>
      <c r="AG42" s="3">
        <f>ROUND(U42*(1-(Exhaust!$B$4+$AD42)),2)</f>
        <v>2.11</v>
      </c>
      <c r="AH42" s="4">
        <f>ROUND($AE42*(SUMIFS(PrefFlows!$C:$C,PrefFlows!$A:$A,$S$1,PrefFlows!$B:$B,$B42)+$AC42)+$AF42*(SUMIFS(PrefFlows!$C:$C,PrefFlows!$A:$A,$T$1,PrefFlows!$B:$B,$B42)+$AC42)+$AG42*(SUMIFS(PrefFlows!$C:$C,PrefFlows!$A:$A,$U$1,PrefFlows!$B:$B,$B42)+$AC42),2)</f>
        <v>2.1800000000000002</v>
      </c>
      <c r="AI42" s="3">
        <f>ROUND($AE42*(1-(SUMIFS(PrefFlows!$C:$C,PrefFlows!$A:$A,$S$1,PrefFlows!$B:$B,$B42)+$AC42))+$AF42*(1-(SUMIFS(PrefFlows!$C:$C,PrefFlows!$A:$A,$T$1,PrefFlows!$B:$B,$B42)+$AC42))+$AG42*(1-(SUMIFS(PrefFlows!$C:$C,PrefFlows!$A:$A,$U$1,PrefFlows!$B:$B,$B42)+$AC42)),2)</f>
        <v>3.56</v>
      </c>
      <c r="AJ42" s="4">
        <f t="shared" si="16"/>
        <v>48.33</v>
      </c>
      <c r="AK42" s="3">
        <f t="shared" si="17"/>
        <v>47.23</v>
      </c>
      <c r="AL42" s="4">
        <f t="shared" si="18"/>
        <v>50.58</v>
      </c>
      <c r="AM42" s="3">
        <f t="shared" si="18"/>
        <v>49.42</v>
      </c>
      <c r="AN42" s="1">
        <f t="shared" si="23"/>
        <v>0.13</v>
      </c>
      <c r="AO42" s="1">
        <f t="shared" si="24"/>
        <v>0.7</v>
      </c>
      <c r="AP42" s="3">
        <f t="shared" si="25"/>
        <v>0.57999999999999996</v>
      </c>
      <c r="AQ42" s="1" t="b">
        <f t="shared" si="19"/>
        <v>0</v>
      </c>
      <c r="AR42" s="1" t="b">
        <f t="shared" si="19"/>
        <v>0</v>
      </c>
      <c r="AS42" s="3" t="b">
        <f t="shared" si="20"/>
        <v>0</v>
      </c>
      <c r="AT42" s="1">
        <f t="shared" si="21"/>
        <v>0.56999999999999995</v>
      </c>
      <c r="AU42" s="1">
        <f t="shared" si="21"/>
        <v>0.44999999999999996</v>
      </c>
      <c r="AV42" s="3">
        <f t="shared" si="22"/>
        <v>0.12</v>
      </c>
      <c r="AW42" s="1">
        <f>ROUND(IF($B42="NSW",N42*Meta!$B$6,N42),1)</f>
        <v>2380</v>
      </c>
      <c r="AX42" s="3">
        <f t="shared" si="26"/>
        <v>80545.100000000006</v>
      </c>
    </row>
    <row r="43" spans="1:50" x14ac:dyDescent="0.55000000000000004">
      <c r="A43" s="2" t="s">
        <v>54</v>
      </c>
      <c r="B43" s="3" t="s">
        <v>12</v>
      </c>
      <c r="C43" s="4">
        <v>46.32</v>
      </c>
      <c r="D43" s="5">
        <v>42.31</v>
      </c>
      <c r="E43" s="5">
        <v>0</v>
      </c>
      <c r="F43" s="5">
        <v>1.71</v>
      </c>
      <c r="G43" s="5">
        <v>0</v>
      </c>
      <c r="H43" s="5">
        <v>5.38</v>
      </c>
      <c r="I43" s="5">
        <v>4.28</v>
      </c>
      <c r="J43" s="3">
        <f t="shared" si="4"/>
        <v>5.99</v>
      </c>
      <c r="K43" s="4">
        <v>46.1</v>
      </c>
      <c r="L43" s="3">
        <v>53.9</v>
      </c>
      <c r="M43" s="4">
        <v>86115</v>
      </c>
      <c r="N43" s="5">
        <v>3719</v>
      </c>
      <c r="O43" s="3">
        <f t="shared" si="5"/>
        <v>82396</v>
      </c>
      <c r="P43" s="5">
        <f t="shared" si="6"/>
        <v>4.3186436741566511E-2</v>
      </c>
      <c r="Q43" s="4">
        <f>ROUND($C43+MIN($D43:$E43)*(1-SUMIFS(PrefFlows!$C:$C,PrefFlows!$A:$A,INDEX($D$1:$E$1,MATCH(MIN($D43:$E43),$D43:$E43,0)),PrefFlows!$B:$B,$B43)),2)</f>
        <v>46.32</v>
      </c>
      <c r="R43" s="5">
        <f>ROUND(MAX($D43:$E43)+MIN($D43:$E43)*SUMIFS(PrefFlows!$C:$C,PrefFlows!$A:$A,INDEX($D$1:$E$1,MATCH(MIN($D43:$E43),$D43:$E43,0)),PrefFlows!$B:$B,$B43),2)</f>
        <v>42.31</v>
      </c>
      <c r="S43" s="5">
        <f t="shared" si="7"/>
        <v>0</v>
      </c>
      <c r="T43" s="5">
        <f t="shared" si="8"/>
        <v>5.38</v>
      </c>
      <c r="U43" s="3">
        <f t="shared" si="9"/>
        <v>5.99</v>
      </c>
      <c r="V43" s="6">
        <f t="shared" si="10"/>
        <v>-4.01</v>
      </c>
      <c r="W43" s="4">
        <f>ROUND($S43*SUMIFS(PrefFlows!$C:$C,PrefFlows!$A:$A,$S$1,PrefFlows!$B:$B,$B43)+$T43*SUMIFS(PrefFlows!$C:$C,PrefFlows!$A:$A,$T$1,PrefFlows!$B:$B,$B43)+$U43*SUMIFS(PrefFlows!$C:$C,PrefFlows!$A:$A,$U$1,PrefFlows!$B:$B,$B43),2)</f>
        <v>4.2</v>
      </c>
      <c r="X43" s="3">
        <f>ROUND($S43*(1-SUMIFS(PrefFlows!$C:$C,PrefFlows!$A:$A,$S$1,PrefFlows!$B:$B,$B43))+$T43*(1-SUMIFS(PrefFlows!$C:$C,PrefFlows!$A:$A,$T$1,PrefFlows!$B:$B,$B43))+$U43*(1-SUMIFS(PrefFlows!$C:$C,PrefFlows!$A:$A,$U$1,PrefFlows!$B:$B,$B43)),2)</f>
        <v>7.17</v>
      </c>
      <c r="Y43" s="4">
        <f t="shared" si="11"/>
        <v>3.79</v>
      </c>
      <c r="Z43" s="3">
        <f t="shared" si="12"/>
        <v>7.58</v>
      </c>
      <c r="AA43" s="4">
        <f t="shared" si="13"/>
        <v>0.36940000000000001</v>
      </c>
      <c r="AB43" s="5">
        <f t="shared" si="14"/>
        <v>0.33329999999999999</v>
      </c>
      <c r="AC43" s="5">
        <f t="shared" si="15"/>
        <v>-3.61E-2</v>
      </c>
      <c r="AD43" s="3">
        <v>6.0313725278927602E-2</v>
      </c>
      <c r="AE43" s="4">
        <f>ROUND(S43*(1-(Exhaust!$B$2+AD43)),2)</f>
        <v>0</v>
      </c>
      <c r="AF43" s="5">
        <f>ROUND(T43*(1-(Exhaust!$B$3+$AD43)),2)</f>
        <v>2.9</v>
      </c>
      <c r="AG43" s="3">
        <f>ROUND(U43*(1-(Exhaust!$B$4+$AD43)),2)</f>
        <v>2.63</v>
      </c>
      <c r="AH43" s="4">
        <f>ROUND($AE43*(SUMIFS(PrefFlows!$C:$C,PrefFlows!$A:$A,$S$1,PrefFlows!$B:$B,$B43)+$AC43)+$AF43*(SUMIFS(PrefFlows!$C:$C,PrefFlows!$A:$A,$T$1,PrefFlows!$B:$B,$B43)+$AC43)+$AG43*(SUMIFS(PrefFlows!$C:$C,PrefFlows!$A:$A,$U$1,PrefFlows!$B:$B,$B43)+$AC43),2)</f>
        <v>1.75</v>
      </c>
      <c r="AI43" s="3">
        <f>ROUND($AE43*(1-(SUMIFS(PrefFlows!$C:$C,PrefFlows!$A:$A,$S$1,PrefFlows!$B:$B,$B43)+$AC43))+$AF43*(1-(SUMIFS(PrefFlows!$C:$C,PrefFlows!$A:$A,$T$1,PrefFlows!$B:$B,$B43)+$AC43))+$AG43*(1-(SUMIFS(PrefFlows!$C:$C,PrefFlows!$A:$A,$U$1,PrefFlows!$B:$B,$B43)+$AC43)),2)</f>
        <v>3.78</v>
      </c>
      <c r="AJ43" s="4">
        <f t="shared" si="16"/>
        <v>44.06</v>
      </c>
      <c r="AK43" s="3">
        <f t="shared" si="17"/>
        <v>50.1</v>
      </c>
      <c r="AL43" s="4">
        <f t="shared" si="18"/>
        <v>46.79</v>
      </c>
      <c r="AM43" s="3">
        <f t="shared" si="18"/>
        <v>53.21</v>
      </c>
      <c r="AN43" s="1">
        <f t="shared" si="23"/>
        <v>-3.9</v>
      </c>
      <c r="AO43" s="1">
        <f t="shared" si="24"/>
        <v>-3.16</v>
      </c>
      <c r="AP43" s="3">
        <f t="shared" si="25"/>
        <v>-3.21</v>
      </c>
      <c r="AQ43" s="1" t="b">
        <f t="shared" si="19"/>
        <v>0</v>
      </c>
      <c r="AR43" s="1" t="b">
        <f t="shared" si="19"/>
        <v>0</v>
      </c>
      <c r="AS43" s="3" t="b">
        <f t="shared" si="20"/>
        <v>0</v>
      </c>
      <c r="AT43" s="1">
        <f t="shared" si="21"/>
        <v>0.73999999999999977</v>
      </c>
      <c r="AU43" s="1">
        <f t="shared" si="21"/>
        <v>0.69</v>
      </c>
      <c r="AV43" s="3">
        <f t="shared" si="22"/>
        <v>4.9999999999999822E-2</v>
      </c>
      <c r="AW43" s="1">
        <f>ROUND(IF($B43="NSW",N43*Meta!$B$6,N43),1)</f>
        <v>2443.4</v>
      </c>
      <c r="AX43" s="3">
        <f t="shared" si="26"/>
        <v>79597.600000000006</v>
      </c>
    </row>
    <row r="44" spans="1:50" x14ac:dyDescent="0.55000000000000004">
      <c r="A44" s="2" t="s">
        <v>55</v>
      </c>
      <c r="B44" s="3" t="s">
        <v>9</v>
      </c>
      <c r="C44" s="4">
        <v>38.26</v>
      </c>
      <c r="D44" s="5">
        <v>49.79</v>
      </c>
      <c r="E44" s="5">
        <v>0</v>
      </c>
      <c r="F44" s="5">
        <v>2.59</v>
      </c>
      <c r="G44" s="5">
        <v>0</v>
      </c>
      <c r="H44" s="5">
        <v>7.75</v>
      </c>
      <c r="I44" s="5">
        <v>1.61</v>
      </c>
      <c r="J44" s="3">
        <f t="shared" si="4"/>
        <v>4.2</v>
      </c>
      <c r="K44" s="4">
        <v>54.04</v>
      </c>
      <c r="L44" s="3">
        <v>45.96</v>
      </c>
      <c r="M44" s="4">
        <v>88732</v>
      </c>
      <c r="N44" s="5">
        <v>2328</v>
      </c>
      <c r="O44" s="3">
        <f t="shared" si="5"/>
        <v>86404</v>
      </c>
      <c r="P44" s="5">
        <f t="shared" si="6"/>
        <v>2.623630708199973E-2</v>
      </c>
      <c r="Q44" s="4">
        <f>ROUND($C44+MIN($D44:$E44)*(1-SUMIFS(PrefFlows!$C:$C,PrefFlows!$A:$A,INDEX($D$1:$E$1,MATCH(MIN($D44:$E44),$D44:$E44,0)),PrefFlows!$B:$B,$B44)),2)</f>
        <v>38.26</v>
      </c>
      <c r="R44" s="5">
        <f>ROUND(MAX($D44:$E44)+MIN($D44:$E44)*SUMIFS(PrefFlows!$C:$C,PrefFlows!$A:$A,INDEX($D$1:$E$1,MATCH(MIN($D44:$E44),$D44:$E44,0)),PrefFlows!$B:$B,$B44),2)</f>
        <v>49.79</v>
      </c>
      <c r="S44" s="5">
        <f t="shared" si="7"/>
        <v>0</v>
      </c>
      <c r="T44" s="5">
        <f t="shared" si="8"/>
        <v>7.75</v>
      </c>
      <c r="U44" s="3">
        <f t="shared" si="9"/>
        <v>4.2</v>
      </c>
      <c r="V44" s="6">
        <f t="shared" si="10"/>
        <v>11.53</v>
      </c>
      <c r="W44" s="4">
        <f>ROUND($S44*SUMIFS(PrefFlows!$C:$C,PrefFlows!$A:$A,$S$1,PrefFlows!$B:$B,$B44)+$T44*SUMIFS(PrefFlows!$C:$C,PrefFlows!$A:$A,$T$1,PrefFlows!$B:$B,$B44)+$U44*SUMIFS(PrefFlows!$C:$C,PrefFlows!$A:$A,$U$1,PrefFlows!$B:$B,$B44),2)</f>
        <v>3.56</v>
      </c>
      <c r="X44" s="3">
        <f>ROUND($S44*(1-SUMIFS(PrefFlows!$C:$C,PrefFlows!$A:$A,$S$1,PrefFlows!$B:$B,$B44))+$T44*(1-SUMIFS(PrefFlows!$C:$C,PrefFlows!$A:$A,$T$1,PrefFlows!$B:$B,$B44))+$U44*(1-SUMIFS(PrefFlows!$C:$C,PrefFlows!$A:$A,$U$1,PrefFlows!$B:$B,$B44)),2)</f>
        <v>8.39</v>
      </c>
      <c r="Y44" s="4">
        <f t="shared" si="11"/>
        <v>4.25</v>
      </c>
      <c r="Z44" s="3">
        <f t="shared" si="12"/>
        <v>7.7</v>
      </c>
      <c r="AA44" s="4">
        <f t="shared" si="13"/>
        <v>0.2979</v>
      </c>
      <c r="AB44" s="5">
        <f t="shared" si="14"/>
        <v>0.35560000000000003</v>
      </c>
      <c r="AC44" s="5">
        <f t="shared" si="15"/>
        <v>5.7700000000000001E-2</v>
      </c>
      <c r="AD44" s="3">
        <v>1.38910796186094E-2</v>
      </c>
      <c r="AE44" s="4">
        <f>ROUND(S44*(1-(Exhaust!$B$2+AD44)),2)</f>
        <v>0</v>
      </c>
      <c r="AF44" s="5">
        <f>ROUND(T44*(1-(Exhaust!$B$3+$AD44)),2)</f>
        <v>4.54</v>
      </c>
      <c r="AG44" s="3">
        <f>ROUND(U44*(1-(Exhaust!$B$4+$AD44)),2)</f>
        <v>2.04</v>
      </c>
      <c r="AH44" s="4">
        <f>ROUND($AE44*(SUMIFS(PrefFlows!$C:$C,PrefFlows!$A:$A,$S$1,PrefFlows!$B:$B,$B44)+$AC44)+$AF44*(SUMIFS(PrefFlows!$C:$C,PrefFlows!$A:$A,$T$1,PrefFlows!$B:$B,$B44)+$AC44)+$AG44*(SUMIFS(PrefFlows!$C:$C,PrefFlows!$A:$A,$U$1,PrefFlows!$B:$B,$B44)+$AC44),2)</f>
        <v>2.2400000000000002</v>
      </c>
      <c r="AI44" s="3">
        <f>ROUND($AE44*(1-(SUMIFS(PrefFlows!$C:$C,PrefFlows!$A:$A,$S$1,PrefFlows!$B:$B,$B44)+$AC44))+$AF44*(1-(SUMIFS(PrefFlows!$C:$C,PrefFlows!$A:$A,$T$1,PrefFlows!$B:$B,$B44)+$AC44))+$AG44*(1-(SUMIFS(PrefFlows!$C:$C,PrefFlows!$A:$A,$U$1,PrefFlows!$B:$B,$B44)+$AC44)),2)</f>
        <v>4.34</v>
      </c>
      <c r="AJ44" s="4">
        <f t="shared" si="16"/>
        <v>52.03</v>
      </c>
      <c r="AK44" s="3">
        <f t="shared" si="17"/>
        <v>42.6</v>
      </c>
      <c r="AL44" s="4">
        <f t="shared" si="18"/>
        <v>54.98</v>
      </c>
      <c r="AM44" s="3">
        <f t="shared" si="18"/>
        <v>45.02</v>
      </c>
      <c r="AN44" s="1">
        <f t="shared" si="23"/>
        <v>4.04</v>
      </c>
      <c r="AO44" s="1">
        <f t="shared" si="24"/>
        <v>5.16</v>
      </c>
      <c r="AP44" s="3">
        <f t="shared" si="25"/>
        <v>4.9800000000000004</v>
      </c>
      <c r="AQ44" s="1" t="b">
        <f t="shared" si="19"/>
        <v>0</v>
      </c>
      <c r="AR44" s="1" t="b">
        <f t="shared" si="19"/>
        <v>0</v>
      </c>
      <c r="AS44" s="3" t="b">
        <f t="shared" si="20"/>
        <v>0</v>
      </c>
      <c r="AT44" s="1">
        <f t="shared" si="21"/>
        <v>1.1200000000000001</v>
      </c>
      <c r="AU44" s="1">
        <f t="shared" si="21"/>
        <v>0.94000000000000039</v>
      </c>
      <c r="AV44" s="3">
        <f t="shared" si="22"/>
        <v>0.17999999999999972</v>
      </c>
      <c r="AW44" s="1">
        <f>ROUND(IF($B44="NSW",N44*Meta!$B$6,N44),1)</f>
        <v>2328</v>
      </c>
      <c r="AX44" s="3">
        <f t="shared" si="26"/>
        <v>82542</v>
      </c>
    </row>
    <row r="45" spans="1:50" x14ac:dyDescent="0.55000000000000004">
      <c r="A45" s="2" t="s">
        <v>56</v>
      </c>
      <c r="B45" s="3" t="s">
        <v>12</v>
      </c>
      <c r="C45" s="4">
        <v>44.56</v>
      </c>
      <c r="D45" s="5">
        <v>43.55</v>
      </c>
      <c r="E45" s="5">
        <v>0</v>
      </c>
      <c r="F45" s="5">
        <v>0.78</v>
      </c>
      <c r="G45" s="5">
        <v>0</v>
      </c>
      <c r="H45" s="5">
        <v>7.45</v>
      </c>
      <c r="I45" s="5">
        <v>3.66</v>
      </c>
      <c r="J45" s="3">
        <f t="shared" si="4"/>
        <v>4.4400000000000004</v>
      </c>
      <c r="K45" s="4">
        <v>46.6</v>
      </c>
      <c r="L45" s="3">
        <v>53.4</v>
      </c>
      <c r="M45" s="4">
        <v>87893</v>
      </c>
      <c r="N45" s="5">
        <v>3239</v>
      </c>
      <c r="O45" s="3">
        <f t="shared" si="5"/>
        <v>84654</v>
      </c>
      <c r="P45" s="5">
        <f t="shared" si="6"/>
        <v>3.6851626409384136E-2</v>
      </c>
      <c r="Q45" s="4">
        <f>ROUND($C45+MIN($D45:$E45)*(1-SUMIFS(PrefFlows!$C:$C,PrefFlows!$A:$A,INDEX($D$1:$E$1,MATCH(MIN($D45:$E45),$D45:$E45,0)),PrefFlows!$B:$B,$B45)),2)</f>
        <v>44.56</v>
      </c>
      <c r="R45" s="5">
        <f>ROUND(MAX($D45:$E45)+MIN($D45:$E45)*SUMIFS(PrefFlows!$C:$C,PrefFlows!$A:$A,INDEX($D$1:$E$1,MATCH(MIN($D45:$E45),$D45:$E45,0)),PrefFlows!$B:$B,$B45),2)</f>
        <v>43.55</v>
      </c>
      <c r="S45" s="5">
        <f t="shared" si="7"/>
        <v>0</v>
      </c>
      <c r="T45" s="5">
        <f t="shared" si="8"/>
        <v>7.45</v>
      </c>
      <c r="U45" s="3">
        <f t="shared" si="9"/>
        <v>4.4400000000000004</v>
      </c>
      <c r="V45" s="6">
        <f t="shared" si="10"/>
        <v>-1.01</v>
      </c>
      <c r="W45" s="4">
        <f>ROUND($S45*SUMIFS(PrefFlows!$C:$C,PrefFlows!$A:$A,$S$1,PrefFlows!$B:$B,$B45)+$T45*SUMIFS(PrefFlows!$C:$C,PrefFlows!$A:$A,$T$1,PrefFlows!$B:$B,$B45)+$U45*SUMIFS(PrefFlows!$C:$C,PrefFlows!$A:$A,$U$1,PrefFlows!$B:$B,$B45),2)</f>
        <v>3.78</v>
      </c>
      <c r="X45" s="3">
        <f>ROUND($S45*(1-SUMIFS(PrefFlows!$C:$C,PrefFlows!$A:$A,$S$1,PrefFlows!$B:$B,$B45))+$T45*(1-SUMIFS(PrefFlows!$C:$C,PrefFlows!$A:$A,$T$1,PrefFlows!$B:$B,$B45))+$U45*(1-SUMIFS(PrefFlows!$C:$C,PrefFlows!$A:$A,$U$1,PrefFlows!$B:$B,$B45)),2)</f>
        <v>8.11</v>
      </c>
      <c r="Y45" s="4">
        <f t="shared" si="11"/>
        <v>3.05</v>
      </c>
      <c r="Z45" s="3">
        <f t="shared" si="12"/>
        <v>8.84</v>
      </c>
      <c r="AA45" s="4">
        <f t="shared" si="13"/>
        <v>0.31790000000000002</v>
      </c>
      <c r="AB45" s="5">
        <f t="shared" si="14"/>
        <v>0.25650000000000001</v>
      </c>
      <c r="AC45" s="5">
        <f t="shared" si="15"/>
        <v>-6.1400000000000003E-2</v>
      </c>
      <c r="AD45" s="3">
        <v>-3.09607849154734E-2</v>
      </c>
      <c r="AE45" s="4">
        <f>ROUND(S45*(1-(Exhaust!$B$2+AD45)),2)</f>
        <v>0</v>
      </c>
      <c r="AF45" s="5">
        <f>ROUND(T45*(1-(Exhaust!$B$3+$AD45)),2)</f>
        <v>4.7</v>
      </c>
      <c r="AG45" s="3">
        <f>ROUND(U45*(1-(Exhaust!$B$4+$AD45)),2)</f>
        <v>2.36</v>
      </c>
      <c r="AH45" s="4">
        <f>ROUND($AE45*(SUMIFS(PrefFlows!$C:$C,PrefFlows!$A:$A,$S$1,PrefFlows!$B:$B,$B45)+$AC45)+$AF45*(SUMIFS(PrefFlows!$C:$C,PrefFlows!$A:$A,$T$1,PrefFlows!$B:$B,$B45)+$AC45)+$AG45*(SUMIFS(PrefFlows!$C:$C,PrefFlows!$A:$A,$U$1,PrefFlows!$B:$B,$B45)+$AC45),2)</f>
        <v>1.72</v>
      </c>
      <c r="AI45" s="3">
        <f>ROUND($AE45*(1-(SUMIFS(PrefFlows!$C:$C,PrefFlows!$A:$A,$S$1,PrefFlows!$B:$B,$B45)+$AC45))+$AF45*(1-(SUMIFS(PrefFlows!$C:$C,PrefFlows!$A:$A,$T$1,PrefFlows!$B:$B,$B45)+$AC45))+$AG45*(1-(SUMIFS(PrefFlows!$C:$C,PrefFlows!$A:$A,$U$1,PrefFlows!$B:$B,$B45)+$AC45)),2)</f>
        <v>5.34</v>
      </c>
      <c r="AJ45" s="4">
        <f t="shared" si="16"/>
        <v>45.27</v>
      </c>
      <c r="AK45" s="3">
        <f t="shared" si="17"/>
        <v>49.9</v>
      </c>
      <c r="AL45" s="4">
        <f t="shared" si="18"/>
        <v>47.57</v>
      </c>
      <c r="AM45" s="3">
        <f t="shared" si="18"/>
        <v>52.43</v>
      </c>
      <c r="AN45" s="1">
        <f t="shared" si="23"/>
        <v>-3.4</v>
      </c>
      <c r="AO45" s="1">
        <f t="shared" si="24"/>
        <v>-2.13</v>
      </c>
      <c r="AP45" s="3">
        <f t="shared" si="25"/>
        <v>-2.4300000000000002</v>
      </c>
      <c r="AQ45" s="1" t="b">
        <f t="shared" si="19"/>
        <v>0</v>
      </c>
      <c r="AR45" s="1" t="b">
        <f t="shared" si="19"/>
        <v>0</v>
      </c>
      <c r="AS45" s="3" t="b">
        <f t="shared" si="20"/>
        <v>0</v>
      </c>
      <c r="AT45" s="1">
        <f t="shared" si="21"/>
        <v>1.27</v>
      </c>
      <c r="AU45" s="1">
        <f t="shared" si="21"/>
        <v>0.96999999999999975</v>
      </c>
      <c r="AV45" s="3">
        <f t="shared" si="22"/>
        <v>0.30000000000000027</v>
      </c>
      <c r="AW45" s="1">
        <f>ROUND(IF($B45="NSW",N45*Meta!$B$6,N45),1)</f>
        <v>2128</v>
      </c>
      <c r="AX45" s="3">
        <f t="shared" si="26"/>
        <v>82337.7</v>
      </c>
    </row>
    <row r="46" spans="1:50" x14ac:dyDescent="0.55000000000000004">
      <c r="A46" s="2" t="s">
        <v>57</v>
      </c>
      <c r="B46" s="3" t="s">
        <v>22</v>
      </c>
      <c r="C46" s="4">
        <v>33.69</v>
      </c>
      <c r="D46" s="5">
        <v>48.92</v>
      </c>
      <c r="E46" s="5">
        <v>7.4</v>
      </c>
      <c r="F46" s="5">
        <v>2.09</v>
      </c>
      <c r="G46" s="5">
        <v>0.83</v>
      </c>
      <c r="H46" s="5">
        <v>4.49</v>
      </c>
      <c r="I46" s="5">
        <v>3.41</v>
      </c>
      <c r="J46" s="3">
        <f t="shared" si="4"/>
        <v>4.67</v>
      </c>
      <c r="K46" s="4">
        <v>60.2</v>
      </c>
      <c r="L46" s="3">
        <v>39.799999999999997</v>
      </c>
      <c r="M46" s="4">
        <v>87187</v>
      </c>
      <c r="N46" s="5">
        <v>3754</v>
      </c>
      <c r="O46" s="3">
        <f t="shared" si="5"/>
        <v>83433</v>
      </c>
      <c r="P46" s="5">
        <f t="shared" si="6"/>
        <v>4.305687774553546E-2</v>
      </c>
      <c r="Q46" s="4">
        <f>ROUND($C46+MIN($D46:$E46)*(1-SUMIFS(PrefFlows!$C:$C,PrefFlows!$A:$A,INDEX($D$1:$E$1,MATCH(MIN($D46:$E46),$D46:$E46,0)),PrefFlows!$B:$B,$B46)),2)</f>
        <v>35.119999999999997</v>
      </c>
      <c r="R46" s="5">
        <f>ROUND(MAX($D46:$E46)+MIN($D46:$E46)*SUMIFS(PrefFlows!$C:$C,PrefFlows!$A:$A,INDEX($D$1:$E$1,MATCH(MIN($D46:$E46),$D46:$E46,0)),PrefFlows!$B:$B,$B46),2)</f>
        <v>54.89</v>
      </c>
      <c r="S46" s="5">
        <f t="shared" si="7"/>
        <v>0.83</v>
      </c>
      <c r="T46" s="5">
        <f t="shared" si="8"/>
        <v>4.49</v>
      </c>
      <c r="U46" s="3">
        <f t="shared" si="9"/>
        <v>4.67</v>
      </c>
      <c r="V46" s="6">
        <f t="shared" si="10"/>
        <v>19.77</v>
      </c>
      <c r="W46" s="4">
        <f>ROUND($S46*SUMIFS(PrefFlows!$C:$C,PrefFlows!$A:$A,$S$1,PrefFlows!$B:$B,$B46)+$T46*SUMIFS(PrefFlows!$C:$C,PrefFlows!$A:$A,$T$1,PrefFlows!$B:$B,$B46)+$U46*SUMIFS(PrefFlows!$C:$C,PrefFlows!$A:$A,$U$1,PrefFlows!$B:$B,$B46),2)</f>
        <v>3.94</v>
      </c>
      <c r="X46" s="3">
        <f>ROUND($S46*(1-SUMIFS(PrefFlows!$C:$C,PrefFlows!$A:$A,$S$1,PrefFlows!$B:$B,$B46))+$T46*(1-SUMIFS(PrefFlows!$C:$C,PrefFlows!$A:$A,$T$1,PrefFlows!$B:$B,$B46))+$U46*(1-SUMIFS(PrefFlows!$C:$C,PrefFlows!$A:$A,$U$1,PrefFlows!$B:$B,$B46)),2)</f>
        <v>6.05</v>
      </c>
      <c r="Y46" s="4">
        <f t="shared" si="11"/>
        <v>5.31</v>
      </c>
      <c r="Z46" s="3">
        <f t="shared" si="12"/>
        <v>4.68</v>
      </c>
      <c r="AA46" s="4">
        <f t="shared" si="13"/>
        <v>0.39439999999999997</v>
      </c>
      <c r="AB46" s="5">
        <f t="shared" si="14"/>
        <v>0.53149999999999997</v>
      </c>
      <c r="AC46" s="5">
        <f t="shared" si="15"/>
        <v>0.1371</v>
      </c>
      <c r="AD46" s="3">
        <v>0.115583229524279</v>
      </c>
      <c r="AE46" s="4">
        <f>ROUND(S46*(1-(Exhaust!$B$2+AD46)),2)</f>
        <v>0.27</v>
      </c>
      <c r="AF46" s="5">
        <f>ROUND(T46*(1-(Exhaust!$B$3+$AD46)),2)</f>
        <v>2.1800000000000002</v>
      </c>
      <c r="AG46" s="3">
        <f>ROUND(U46*(1-(Exhaust!$B$4+$AD46)),2)</f>
        <v>1.8</v>
      </c>
      <c r="AH46" s="4">
        <f>ROUND($AE46*(SUMIFS(PrefFlows!$C:$C,PrefFlows!$A:$A,$S$1,PrefFlows!$B:$B,$B46)+$AC46)+$AF46*(SUMIFS(PrefFlows!$C:$C,PrefFlows!$A:$A,$T$1,PrefFlows!$B:$B,$B46)+$AC46)+$AG46*(SUMIFS(PrefFlows!$C:$C,PrefFlows!$A:$A,$U$1,PrefFlows!$B:$B,$B46)+$AC46),2)</f>
        <v>2.1800000000000002</v>
      </c>
      <c r="AI46" s="3">
        <f>ROUND($AE46*(1-(SUMIFS(PrefFlows!$C:$C,PrefFlows!$A:$A,$S$1,PrefFlows!$B:$B,$B46)+$AC46))+$AF46*(1-(SUMIFS(PrefFlows!$C:$C,PrefFlows!$A:$A,$T$1,PrefFlows!$B:$B,$B46)+$AC46))+$AG46*(1-(SUMIFS(PrefFlows!$C:$C,PrefFlows!$A:$A,$U$1,PrefFlows!$B:$B,$B46)+$AC46)),2)</f>
        <v>2.0699999999999998</v>
      </c>
      <c r="AJ46" s="4">
        <f t="shared" si="16"/>
        <v>57.07</v>
      </c>
      <c r="AK46" s="3">
        <f t="shared" si="17"/>
        <v>37.19</v>
      </c>
      <c r="AL46" s="4">
        <f t="shared" si="18"/>
        <v>60.55</v>
      </c>
      <c r="AM46" s="3">
        <f t="shared" si="18"/>
        <v>39.450000000000003</v>
      </c>
      <c r="AN46" s="1">
        <f t="shared" si="23"/>
        <v>10.199999999999999</v>
      </c>
      <c r="AO46" s="1">
        <f t="shared" si="24"/>
        <v>10.55</v>
      </c>
      <c r="AP46" s="3">
        <f t="shared" si="25"/>
        <v>10.55</v>
      </c>
      <c r="AQ46" s="1" t="b">
        <f t="shared" si="19"/>
        <v>0</v>
      </c>
      <c r="AR46" s="1" t="b">
        <f t="shared" si="19"/>
        <v>0</v>
      </c>
      <c r="AS46" s="3" t="b">
        <f t="shared" si="20"/>
        <v>0</v>
      </c>
      <c r="AT46" s="1">
        <f t="shared" si="21"/>
        <v>0.35000000000000142</v>
      </c>
      <c r="AU46" s="1">
        <f t="shared" si="21"/>
        <v>0.35000000000000142</v>
      </c>
      <c r="AV46" s="3">
        <f t="shared" si="22"/>
        <v>0</v>
      </c>
      <c r="AW46" s="1">
        <f>ROUND(IF($B46="NSW",N46*Meta!$B$6,N46),1)</f>
        <v>3754</v>
      </c>
      <c r="AX46" s="3">
        <f t="shared" si="26"/>
        <v>79893.5</v>
      </c>
    </row>
    <row r="47" spans="1:50" x14ac:dyDescent="0.55000000000000004">
      <c r="A47" s="2" t="s">
        <v>58</v>
      </c>
      <c r="B47" s="3" t="s">
        <v>22</v>
      </c>
      <c r="C47" s="4">
        <v>36.46</v>
      </c>
      <c r="D47" s="5">
        <v>46.82</v>
      </c>
      <c r="E47" s="5">
        <v>0</v>
      </c>
      <c r="F47" s="5">
        <v>4</v>
      </c>
      <c r="G47" s="5">
        <v>1.05</v>
      </c>
      <c r="H47" s="5">
        <v>8.5299999999999994</v>
      </c>
      <c r="I47" s="5">
        <v>4.1900000000000004</v>
      </c>
      <c r="J47" s="3">
        <f t="shared" si="4"/>
        <v>7.14</v>
      </c>
      <c r="K47" s="4">
        <v>53.01</v>
      </c>
      <c r="L47" s="3">
        <v>46.99</v>
      </c>
      <c r="M47" s="4">
        <v>85019</v>
      </c>
      <c r="N47" s="5">
        <v>2852</v>
      </c>
      <c r="O47" s="3">
        <f t="shared" si="5"/>
        <v>82167</v>
      </c>
      <c r="P47" s="5">
        <f t="shared" si="6"/>
        <v>3.3545442783377837E-2</v>
      </c>
      <c r="Q47" s="4">
        <f>ROUND($C47+MIN($D47:$E47)*(1-SUMIFS(PrefFlows!$C:$C,PrefFlows!$A:$A,INDEX($D$1:$E$1,MATCH(MIN($D47:$E47),$D47:$E47,0)),PrefFlows!$B:$B,$B47)),2)</f>
        <v>36.46</v>
      </c>
      <c r="R47" s="5">
        <f>ROUND(MAX($D47:$E47)+MIN($D47:$E47)*SUMIFS(PrefFlows!$C:$C,PrefFlows!$A:$A,INDEX($D$1:$E$1,MATCH(MIN($D47:$E47),$D47:$E47,0)),PrefFlows!$B:$B,$B47),2)</f>
        <v>46.82</v>
      </c>
      <c r="S47" s="5">
        <f t="shared" si="7"/>
        <v>1.05</v>
      </c>
      <c r="T47" s="5">
        <f t="shared" si="8"/>
        <v>8.5299999999999994</v>
      </c>
      <c r="U47" s="3">
        <f t="shared" si="9"/>
        <v>7.14</v>
      </c>
      <c r="V47" s="6">
        <f t="shared" si="10"/>
        <v>10.36</v>
      </c>
      <c r="W47" s="4">
        <f>ROUND($S47*SUMIFS(PrefFlows!$C:$C,PrefFlows!$A:$A,$S$1,PrefFlows!$B:$B,$B47)+$T47*SUMIFS(PrefFlows!$C:$C,PrefFlows!$A:$A,$T$1,PrefFlows!$B:$B,$B47)+$U47*SUMIFS(PrefFlows!$C:$C,PrefFlows!$A:$A,$U$1,PrefFlows!$B:$B,$B47),2)</f>
        <v>6.31</v>
      </c>
      <c r="X47" s="3">
        <f>ROUND($S47*(1-SUMIFS(PrefFlows!$C:$C,PrefFlows!$A:$A,$S$1,PrefFlows!$B:$B,$B47))+$T47*(1-SUMIFS(PrefFlows!$C:$C,PrefFlows!$A:$A,$T$1,PrefFlows!$B:$B,$B47))+$U47*(1-SUMIFS(PrefFlows!$C:$C,PrefFlows!$A:$A,$U$1,PrefFlows!$B:$B,$B47)),2)</f>
        <v>10.41</v>
      </c>
      <c r="Y47" s="4">
        <f t="shared" si="11"/>
        <v>6.19</v>
      </c>
      <c r="Z47" s="3">
        <f t="shared" si="12"/>
        <v>10.53</v>
      </c>
      <c r="AA47" s="4">
        <f t="shared" si="13"/>
        <v>0.37740000000000001</v>
      </c>
      <c r="AB47" s="5">
        <f t="shared" si="14"/>
        <v>0.37019999999999997</v>
      </c>
      <c r="AC47" s="5">
        <f t="shared" si="15"/>
        <v>-7.1999999999999998E-3</v>
      </c>
      <c r="AD47" s="3">
        <v>3.8005230510324499E-2</v>
      </c>
      <c r="AE47" s="4">
        <f>ROUND(S47*(1-(Exhaust!$B$2+AD47)),2)</f>
        <v>0.42</v>
      </c>
      <c r="AF47" s="5">
        <f>ROUND(T47*(1-(Exhaust!$B$3+$AD47)),2)</f>
        <v>4.79</v>
      </c>
      <c r="AG47" s="3">
        <f>ROUND(U47*(1-(Exhaust!$B$4+$AD47)),2)</f>
        <v>3.3</v>
      </c>
      <c r="AH47" s="4">
        <f>ROUND($AE47*(SUMIFS(PrefFlows!$C:$C,PrefFlows!$A:$A,$S$1,PrefFlows!$B:$B,$B47)+$AC47)+$AF47*(SUMIFS(PrefFlows!$C:$C,PrefFlows!$A:$A,$T$1,PrefFlows!$B:$B,$B47)+$AC47)+$AG47*(SUMIFS(PrefFlows!$C:$C,PrefFlows!$A:$A,$U$1,PrefFlows!$B:$B,$B47)+$AC47),2)</f>
        <v>3.03</v>
      </c>
      <c r="AI47" s="3">
        <f>ROUND($AE47*(1-(SUMIFS(PrefFlows!$C:$C,PrefFlows!$A:$A,$S$1,PrefFlows!$B:$B,$B47)+$AC47))+$AF47*(1-(SUMIFS(PrefFlows!$C:$C,PrefFlows!$A:$A,$T$1,PrefFlows!$B:$B,$B47)+$AC47))+$AG47*(1-(SUMIFS(PrefFlows!$C:$C,PrefFlows!$A:$A,$U$1,PrefFlows!$B:$B,$B47)+$AC47)),2)</f>
        <v>5.48</v>
      </c>
      <c r="AJ47" s="4">
        <f t="shared" si="16"/>
        <v>49.85</v>
      </c>
      <c r="AK47" s="3">
        <f t="shared" si="17"/>
        <v>41.94</v>
      </c>
      <c r="AL47" s="4">
        <f t="shared" si="18"/>
        <v>54.31</v>
      </c>
      <c r="AM47" s="3">
        <f t="shared" si="18"/>
        <v>45.69</v>
      </c>
      <c r="AN47" s="1">
        <f t="shared" si="23"/>
        <v>3.01</v>
      </c>
      <c r="AO47" s="1">
        <f t="shared" si="24"/>
        <v>4.41</v>
      </c>
      <c r="AP47" s="3">
        <f t="shared" si="25"/>
        <v>4.3099999999999996</v>
      </c>
      <c r="AQ47" s="1" t="b">
        <f t="shared" si="19"/>
        <v>0</v>
      </c>
      <c r="AR47" s="1" t="b">
        <f t="shared" si="19"/>
        <v>0</v>
      </c>
      <c r="AS47" s="3" t="b">
        <f t="shared" si="20"/>
        <v>0</v>
      </c>
      <c r="AT47" s="1">
        <f t="shared" si="21"/>
        <v>1.4000000000000004</v>
      </c>
      <c r="AU47" s="1">
        <f t="shared" si="21"/>
        <v>1.2999999999999998</v>
      </c>
      <c r="AV47" s="3">
        <f t="shared" si="22"/>
        <v>0.10000000000000053</v>
      </c>
      <c r="AW47" s="1">
        <f>ROUND(IF($B47="NSW",N47*Meta!$B$6,N47),1)</f>
        <v>2852</v>
      </c>
      <c r="AX47" s="3">
        <f t="shared" si="26"/>
        <v>76345.5</v>
      </c>
    </row>
    <row r="48" spans="1:50" x14ac:dyDescent="0.55000000000000004">
      <c r="A48" s="2" t="s">
        <v>59</v>
      </c>
      <c r="B48" s="3" t="s">
        <v>12</v>
      </c>
      <c r="C48" s="4">
        <v>32.74</v>
      </c>
      <c r="D48" s="5">
        <v>57.73</v>
      </c>
      <c r="E48" s="5">
        <v>0</v>
      </c>
      <c r="F48" s="5">
        <v>3.08</v>
      </c>
      <c r="G48" s="5">
        <v>0</v>
      </c>
      <c r="H48" s="5">
        <v>4.83</v>
      </c>
      <c r="I48" s="5">
        <v>1.62</v>
      </c>
      <c r="J48" s="3">
        <f t="shared" si="4"/>
        <v>4.7</v>
      </c>
      <c r="K48" s="4">
        <v>61.17</v>
      </c>
      <c r="L48" s="3">
        <v>38.83</v>
      </c>
      <c r="M48" s="4">
        <v>89686</v>
      </c>
      <c r="N48" s="5">
        <v>3427</v>
      </c>
      <c r="O48" s="3">
        <f t="shared" si="5"/>
        <v>86259</v>
      </c>
      <c r="P48" s="5">
        <f t="shared" si="6"/>
        <v>3.8211092032201237E-2</v>
      </c>
      <c r="Q48" s="4">
        <f>ROUND($C48+MIN($D48:$E48)*(1-SUMIFS(PrefFlows!$C:$C,PrefFlows!$A:$A,INDEX($D$1:$E$1,MATCH(MIN($D48:$E48),$D48:$E48,0)),PrefFlows!$B:$B,$B48)),2)</f>
        <v>32.74</v>
      </c>
      <c r="R48" s="5">
        <f>ROUND(MAX($D48:$E48)+MIN($D48:$E48)*SUMIFS(PrefFlows!$C:$C,PrefFlows!$A:$A,INDEX($D$1:$E$1,MATCH(MIN($D48:$E48),$D48:$E48,0)),PrefFlows!$B:$B,$B48),2)</f>
        <v>57.73</v>
      </c>
      <c r="S48" s="5">
        <f t="shared" si="7"/>
        <v>0</v>
      </c>
      <c r="T48" s="5">
        <f t="shared" si="8"/>
        <v>4.83</v>
      </c>
      <c r="U48" s="3">
        <f t="shared" si="9"/>
        <v>4.7</v>
      </c>
      <c r="V48" s="6">
        <f t="shared" si="10"/>
        <v>24.99</v>
      </c>
      <c r="W48" s="4">
        <f>ROUND($S48*SUMIFS(PrefFlows!$C:$C,PrefFlows!$A:$A,$S$1,PrefFlows!$B:$B,$B48)+$T48*SUMIFS(PrefFlows!$C:$C,PrefFlows!$A:$A,$T$1,PrefFlows!$B:$B,$B48)+$U48*SUMIFS(PrefFlows!$C:$C,PrefFlows!$A:$A,$U$1,PrefFlows!$B:$B,$B48),2)</f>
        <v>3.41</v>
      </c>
      <c r="X48" s="3">
        <f>ROUND($S48*(1-SUMIFS(PrefFlows!$C:$C,PrefFlows!$A:$A,$S$1,PrefFlows!$B:$B,$B48))+$T48*(1-SUMIFS(PrefFlows!$C:$C,PrefFlows!$A:$A,$T$1,PrefFlows!$B:$B,$B48))+$U48*(1-SUMIFS(PrefFlows!$C:$C,PrefFlows!$A:$A,$U$1,PrefFlows!$B:$B,$B48)),2)</f>
        <v>6.12</v>
      </c>
      <c r="Y48" s="4">
        <f t="shared" si="11"/>
        <v>3.44</v>
      </c>
      <c r="Z48" s="3">
        <f t="shared" si="12"/>
        <v>6.09</v>
      </c>
      <c r="AA48" s="4">
        <f t="shared" si="13"/>
        <v>0.35780000000000001</v>
      </c>
      <c r="AB48" s="5">
        <f t="shared" si="14"/>
        <v>0.36099999999999999</v>
      </c>
      <c r="AC48" s="5">
        <f t="shared" si="15"/>
        <v>3.2000000000000002E-3</v>
      </c>
      <c r="AD48" s="3">
        <v>-7.9638043599059606E-3</v>
      </c>
      <c r="AE48" s="4">
        <f>ROUND(S48*(1-(Exhaust!$B$2+AD48)),2)</f>
        <v>0</v>
      </c>
      <c r="AF48" s="5">
        <f>ROUND(T48*(1-(Exhaust!$B$3+$AD48)),2)</f>
        <v>2.94</v>
      </c>
      <c r="AG48" s="3">
        <f>ROUND(U48*(1-(Exhaust!$B$4+$AD48)),2)</f>
        <v>2.39</v>
      </c>
      <c r="AH48" s="4">
        <f>ROUND($AE48*(SUMIFS(PrefFlows!$C:$C,PrefFlows!$A:$A,$S$1,PrefFlows!$B:$B,$B48)+$AC48)+$AF48*(SUMIFS(PrefFlows!$C:$C,PrefFlows!$A:$A,$T$1,PrefFlows!$B:$B,$B48)+$AC48)+$AG48*(SUMIFS(PrefFlows!$C:$C,PrefFlows!$A:$A,$U$1,PrefFlows!$B:$B,$B48)+$AC48),2)</f>
        <v>1.85</v>
      </c>
      <c r="AI48" s="3">
        <f>ROUND($AE48*(1-(SUMIFS(PrefFlows!$C:$C,PrefFlows!$A:$A,$S$1,PrefFlows!$B:$B,$B48)+$AC48))+$AF48*(1-(SUMIFS(PrefFlows!$C:$C,PrefFlows!$A:$A,$T$1,PrefFlows!$B:$B,$B48)+$AC48))+$AG48*(1-(SUMIFS(PrefFlows!$C:$C,PrefFlows!$A:$A,$U$1,PrefFlows!$B:$B,$B48)+$AC48)),2)</f>
        <v>3.48</v>
      </c>
      <c r="AJ48" s="4">
        <f t="shared" si="16"/>
        <v>59.58</v>
      </c>
      <c r="AK48" s="3">
        <f t="shared" si="17"/>
        <v>36.22</v>
      </c>
      <c r="AL48" s="4">
        <f t="shared" si="18"/>
        <v>62.19</v>
      </c>
      <c r="AM48" s="3">
        <f t="shared" si="18"/>
        <v>37.81</v>
      </c>
      <c r="AN48" s="1">
        <f t="shared" si="23"/>
        <v>11.17</v>
      </c>
      <c r="AO48" s="1">
        <f t="shared" si="24"/>
        <v>12.37</v>
      </c>
      <c r="AP48" s="3">
        <f t="shared" si="25"/>
        <v>12.19</v>
      </c>
      <c r="AQ48" s="1" t="b">
        <f t="shared" si="19"/>
        <v>0</v>
      </c>
      <c r="AR48" s="1" t="b">
        <f t="shared" si="19"/>
        <v>0</v>
      </c>
      <c r="AS48" s="3" t="b">
        <f t="shared" si="20"/>
        <v>0</v>
      </c>
      <c r="AT48" s="1">
        <f t="shared" si="21"/>
        <v>1.1999999999999993</v>
      </c>
      <c r="AU48" s="1">
        <f t="shared" si="21"/>
        <v>1.0199999999999996</v>
      </c>
      <c r="AV48" s="3">
        <f t="shared" si="22"/>
        <v>0.17999999999999972</v>
      </c>
      <c r="AW48" s="1">
        <f>ROUND(IF($B48="NSW",N48*Meta!$B$6,N48),1)</f>
        <v>2251.5</v>
      </c>
      <c r="AX48" s="3">
        <f t="shared" si="26"/>
        <v>84523.9</v>
      </c>
    </row>
    <row r="49" spans="1:50" x14ac:dyDescent="0.55000000000000004">
      <c r="A49" s="2" t="s">
        <v>60</v>
      </c>
      <c r="B49" s="3" t="s">
        <v>22</v>
      </c>
      <c r="C49" s="4">
        <v>33.97</v>
      </c>
      <c r="D49" s="5">
        <v>44.14</v>
      </c>
      <c r="E49" s="5">
        <v>0</v>
      </c>
      <c r="F49" s="5">
        <v>2.17</v>
      </c>
      <c r="G49" s="5">
        <v>0</v>
      </c>
      <c r="H49" s="5">
        <v>5.61</v>
      </c>
      <c r="I49" s="5">
        <v>14.11</v>
      </c>
      <c r="J49" s="3">
        <f t="shared" si="4"/>
        <v>16.28</v>
      </c>
      <c r="K49" s="4">
        <v>53.1</v>
      </c>
      <c r="L49" s="3">
        <v>46.9</v>
      </c>
      <c r="M49" s="4">
        <v>82127</v>
      </c>
      <c r="N49" s="5">
        <v>2418</v>
      </c>
      <c r="O49" s="3">
        <f t="shared" si="5"/>
        <v>79709</v>
      </c>
      <c r="P49" s="5">
        <f t="shared" si="6"/>
        <v>2.9442205364861737E-2</v>
      </c>
      <c r="Q49" s="4">
        <f>ROUND($C49+MIN($D49:$E49)*(1-SUMIFS(PrefFlows!$C:$C,PrefFlows!$A:$A,INDEX($D$1:$E$1,MATCH(MIN($D49:$E49),$D49:$E49,0)),PrefFlows!$B:$B,$B49)),2)</f>
        <v>33.97</v>
      </c>
      <c r="R49" s="5">
        <f>ROUND(MAX($D49:$E49)+MIN($D49:$E49)*SUMIFS(PrefFlows!$C:$C,PrefFlows!$A:$A,INDEX($D$1:$E$1,MATCH(MIN($D49:$E49),$D49:$E49,0)),PrefFlows!$B:$B,$B49),2)</f>
        <v>44.14</v>
      </c>
      <c r="S49" s="5">
        <f t="shared" si="7"/>
        <v>0</v>
      </c>
      <c r="T49" s="5">
        <f t="shared" si="8"/>
        <v>5.61</v>
      </c>
      <c r="U49" s="3">
        <f t="shared" si="9"/>
        <v>16.28</v>
      </c>
      <c r="V49" s="6">
        <f t="shared" si="10"/>
        <v>10.17</v>
      </c>
      <c r="W49" s="4">
        <f>ROUND($S49*SUMIFS(PrefFlows!$C:$C,PrefFlows!$A:$A,$S$1,PrefFlows!$B:$B,$B49)+$T49*SUMIFS(PrefFlows!$C:$C,PrefFlows!$A:$A,$T$1,PrefFlows!$B:$B,$B49)+$U49*SUMIFS(PrefFlows!$C:$C,PrefFlows!$A:$A,$U$1,PrefFlows!$B:$B,$B49),2)</f>
        <v>9.66</v>
      </c>
      <c r="X49" s="3">
        <f>ROUND($S49*(1-SUMIFS(PrefFlows!$C:$C,PrefFlows!$A:$A,$S$1,PrefFlows!$B:$B,$B49))+$T49*(1-SUMIFS(PrefFlows!$C:$C,PrefFlows!$A:$A,$T$1,PrefFlows!$B:$B,$B49))+$U49*(1-SUMIFS(PrefFlows!$C:$C,PrefFlows!$A:$A,$U$1,PrefFlows!$B:$B,$B49)),2)</f>
        <v>12.23</v>
      </c>
      <c r="Y49" s="4">
        <f t="shared" si="11"/>
        <v>8.9600000000000009</v>
      </c>
      <c r="Z49" s="3">
        <f t="shared" si="12"/>
        <v>12.93</v>
      </c>
      <c r="AA49" s="4">
        <f t="shared" si="13"/>
        <v>0.44130000000000003</v>
      </c>
      <c r="AB49" s="5">
        <f t="shared" si="14"/>
        <v>0.4093</v>
      </c>
      <c r="AC49" s="5">
        <f t="shared" si="15"/>
        <v>-3.2000000000000001E-2</v>
      </c>
      <c r="AD49" s="3">
        <v>4.5486845930241E-2</v>
      </c>
      <c r="AE49" s="4">
        <f>ROUND(S49*(1-(Exhaust!$B$2+AD49)),2)</f>
        <v>0</v>
      </c>
      <c r="AF49" s="5">
        <f>ROUND(T49*(1-(Exhaust!$B$3+$AD49)),2)</f>
        <v>3.11</v>
      </c>
      <c r="AG49" s="3">
        <f>ROUND(U49*(1-(Exhaust!$B$4+$AD49)),2)</f>
        <v>7.4</v>
      </c>
      <c r="AH49" s="4">
        <f>ROUND($AE49*(SUMIFS(PrefFlows!$C:$C,PrefFlows!$A:$A,$S$1,PrefFlows!$B:$B,$B49)+$AC49)+$AF49*(SUMIFS(PrefFlows!$C:$C,PrefFlows!$A:$A,$T$1,PrefFlows!$B:$B,$B49)+$AC49)+$AG49*(SUMIFS(PrefFlows!$C:$C,PrefFlows!$A:$A,$U$1,PrefFlows!$B:$B,$B49)+$AC49),2)</f>
        <v>4.1900000000000004</v>
      </c>
      <c r="AI49" s="3">
        <f>ROUND($AE49*(1-(SUMIFS(PrefFlows!$C:$C,PrefFlows!$A:$A,$S$1,PrefFlows!$B:$B,$B49)+$AC49))+$AF49*(1-(SUMIFS(PrefFlows!$C:$C,PrefFlows!$A:$A,$T$1,PrefFlows!$B:$B,$B49)+$AC49))+$AG49*(1-(SUMIFS(PrefFlows!$C:$C,PrefFlows!$A:$A,$U$1,PrefFlows!$B:$B,$B49)+$AC49)),2)</f>
        <v>6.32</v>
      </c>
      <c r="AJ49" s="4">
        <f t="shared" si="16"/>
        <v>48.33</v>
      </c>
      <c r="AK49" s="3">
        <f t="shared" si="17"/>
        <v>40.29</v>
      </c>
      <c r="AL49" s="4">
        <f t="shared" si="18"/>
        <v>54.54</v>
      </c>
      <c r="AM49" s="3">
        <f t="shared" si="18"/>
        <v>45.46</v>
      </c>
      <c r="AN49" s="1">
        <f t="shared" si="23"/>
        <v>3.1</v>
      </c>
      <c r="AO49" s="1">
        <f t="shared" si="24"/>
        <v>4.53</v>
      </c>
      <c r="AP49" s="3">
        <f t="shared" si="25"/>
        <v>4.54</v>
      </c>
      <c r="AQ49" s="1" t="b">
        <f t="shared" si="19"/>
        <v>0</v>
      </c>
      <c r="AR49" s="1" t="b">
        <f t="shared" si="19"/>
        <v>0</v>
      </c>
      <c r="AS49" s="3" t="b">
        <f t="shared" si="20"/>
        <v>0</v>
      </c>
      <c r="AT49" s="1">
        <f t="shared" si="21"/>
        <v>1.4300000000000002</v>
      </c>
      <c r="AU49" s="1">
        <f t="shared" si="21"/>
        <v>1.44</v>
      </c>
      <c r="AV49" s="3">
        <f t="shared" si="22"/>
        <v>9.9999999999997868E-3</v>
      </c>
      <c r="AW49" s="1">
        <f>ROUND(IF($B49="NSW",N49*Meta!$B$6,N49),1)</f>
        <v>2418</v>
      </c>
      <c r="AX49" s="3">
        <f t="shared" si="26"/>
        <v>71394.8</v>
      </c>
    </row>
    <row r="50" spans="1:50" x14ac:dyDescent="0.55000000000000004">
      <c r="A50" s="2" t="s">
        <v>61</v>
      </c>
      <c r="B50" s="3" t="s">
        <v>9</v>
      </c>
      <c r="C50" s="4">
        <v>33.880000000000003</v>
      </c>
      <c r="D50" s="5">
        <v>54.47</v>
      </c>
      <c r="E50" s="5">
        <v>0</v>
      </c>
      <c r="F50" s="5">
        <v>2.2400000000000002</v>
      </c>
      <c r="G50" s="5">
        <v>0</v>
      </c>
      <c r="H50" s="5">
        <v>8.48</v>
      </c>
      <c r="I50" s="5">
        <v>0.93</v>
      </c>
      <c r="J50" s="3">
        <f t="shared" si="4"/>
        <v>3.17</v>
      </c>
      <c r="K50" s="4">
        <v>58.25</v>
      </c>
      <c r="L50" s="3">
        <v>41.75</v>
      </c>
      <c r="M50" s="4">
        <v>91293</v>
      </c>
      <c r="N50" s="5">
        <v>2538</v>
      </c>
      <c r="O50" s="3">
        <f t="shared" si="5"/>
        <v>88755</v>
      </c>
      <c r="P50" s="5">
        <f t="shared" si="6"/>
        <v>2.7800598074332095E-2</v>
      </c>
      <c r="Q50" s="4">
        <f>ROUND($C50+MIN($D50:$E50)*(1-SUMIFS(PrefFlows!$C:$C,PrefFlows!$A:$A,INDEX($D$1:$E$1,MATCH(MIN($D50:$E50),$D50:$E50,0)),PrefFlows!$B:$B,$B50)),2)</f>
        <v>33.880000000000003</v>
      </c>
      <c r="R50" s="5">
        <f>ROUND(MAX($D50:$E50)+MIN($D50:$E50)*SUMIFS(PrefFlows!$C:$C,PrefFlows!$A:$A,INDEX($D$1:$E$1,MATCH(MIN($D50:$E50),$D50:$E50,0)),PrefFlows!$B:$B,$B50),2)</f>
        <v>54.47</v>
      </c>
      <c r="S50" s="5">
        <f t="shared" si="7"/>
        <v>0</v>
      </c>
      <c r="T50" s="5">
        <f t="shared" si="8"/>
        <v>8.48</v>
      </c>
      <c r="U50" s="3">
        <f t="shared" si="9"/>
        <v>3.17</v>
      </c>
      <c r="V50" s="6">
        <f t="shared" si="10"/>
        <v>20.59</v>
      </c>
      <c r="W50" s="4">
        <f>ROUND($S50*SUMIFS(PrefFlows!$C:$C,PrefFlows!$A:$A,$S$1,PrefFlows!$B:$B,$B50)+$T50*SUMIFS(PrefFlows!$C:$C,PrefFlows!$A:$A,$T$1,PrefFlows!$B:$B,$B50)+$U50*SUMIFS(PrefFlows!$C:$C,PrefFlows!$A:$A,$U$1,PrefFlows!$B:$B,$B50),2)</f>
        <v>3.14</v>
      </c>
      <c r="X50" s="3">
        <f>ROUND($S50*(1-SUMIFS(PrefFlows!$C:$C,PrefFlows!$A:$A,$S$1,PrefFlows!$B:$B,$B50))+$T50*(1-SUMIFS(PrefFlows!$C:$C,PrefFlows!$A:$A,$T$1,PrefFlows!$B:$B,$B50))+$U50*(1-SUMIFS(PrefFlows!$C:$C,PrefFlows!$A:$A,$U$1,PrefFlows!$B:$B,$B50)),2)</f>
        <v>8.51</v>
      </c>
      <c r="Y50" s="4">
        <f t="shared" si="11"/>
        <v>3.78</v>
      </c>
      <c r="Z50" s="3">
        <f t="shared" si="12"/>
        <v>7.87</v>
      </c>
      <c r="AA50" s="4">
        <f t="shared" si="13"/>
        <v>0.26950000000000002</v>
      </c>
      <c r="AB50" s="5">
        <f t="shared" si="14"/>
        <v>0.32450000000000001</v>
      </c>
      <c r="AC50" s="5">
        <f t="shared" si="15"/>
        <v>5.5E-2</v>
      </c>
      <c r="AD50" s="3">
        <v>2.39178510304273E-2</v>
      </c>
      <c r="AE50" s="4">
        <f>ROUND(S50*(1-(Exhaust!$B$2+AD50)),2)</f>
        <v>0</v>
      </c>
      <c r="AF50" s="5">
        <f>ROUND(T50*(1-(Exhaust!$B$3+$AD50)),2)</f>
        <v>4.8899999999999997</v>
      </c>
      <c r="AG50" s="3">
        <f>ROUND(U50*(1-(Exhaust!$B$4+$AD50)),2)</f>
        <v>1.51</v>
      </c>
      <c r="AH50" s="4">
        <f>ROUND($AE50*(SUMIFS(PrefFlows!$C:$C,PrefFlows!$A:$A,$S$1,PrefFlows!$B:$B,$B50)+$AC50)+$AF50*(SUMIFS(PrefFlows!$C:$C,PrefFlows!$A:$A,$T$1,PrefFlows!$B:$B,$B50)+$AC50)+$AG50*(SUMIFS(PrefFlows!$C:$C,PrefFlows!$A:$A,$U$1,PrefFlows!$B:$B,$B50)+$AC50),2)</f>
        <v>1.99</v>
      </c>
      <c r="AI50" s="3">
        <f>ROUND($AE50*(1-(SUMIFS(PrefFlows!$C:$C,PrefFlows!$A:$A,$S$1,PrefFlows!$B:$B,$B50)+$AC50))+$AF50*(1-(SUMIFS(PrefFlows!$C:$C,PrefFlows!$A:$A,$T$1,PrefFlows!$B:$B,$B50)+$AC50))+$AG50*(1-(SUMIFS(PrefFlows!$C:$C,PrefFlows!$A:$A,$U$1,PrefFlows!$B:$B,$B50)+$AC50)),2)</f>
        <v>4.41</v>
      </c>
      <c r="AJ50" s="4">
        <f t="shared" si="16"/>
        <v>56.46</v>
      </c>
      <c r="AK50" s="3">
        <f t="shared" si="17"/>
        <v>38.29</v>
      </c>
      <c r="AL50" s="4">
        <f t="shared" si="18"/>
        <v>59.59</v>
      </c>
      <c r="AM50" s="3">
        <f t="shared" si="18"/>
        <v>40.409999999999997</v>
      </c>
      <c r="AN50" s="1">
        <f t="shared" si="23"/>
        <v>8.25</v>
      </c>
      <c r="AO50" s="1">
        <f t="shared" si="24"/>
        <v>9.7799999999999994</v>
      </c>
      <c r="AP50" s="3">
        <f t="shared" si="25"/>
        <v>9.59</v>
      </c>
      <c r="AQ50" s="1" t="b">
        <f t="shared" si="19"/>
        <v>0</v>
      </c>
      <c r="AR50" s="1" t="b">
        <f t="shared" si="19"/>
        <v>0</v>
      </c>
      <c r="AS50" s="3" t="b">
        <f t="shared" si="20"/>
        <v>0</v>
      </c>
      <c r="AT50" s="1">
        <f t="shared" si="21"/>
        <v>1.5299999999999994</v>
      </c>
      <c r="AU50" s="1">
        <f t="shared" si="21"/>
        <v>1.3399999999999999</v>
      </c>
      <c r="AV50" s="3">
        <f t="shared" si="22"/>
        <v>0.1899999999999995</v>
      </c>
      <c r="AW50" s="1">
        <f>ROUND(IF($B50="NSW",N50*Meta!$B$6,N50),1)</f>
        <v>2538</v>
      </c>
      <c r="AX50" s="3">
        <f t="shared" si="26"/>
        <v>84944.5</v>
      </c>
    </row>
    <row r="51" spans="1:50" x14ac:dyDescent="0.55000000000000004">
      <c r="A51" s="2" t="s">
        <v>204</v>
      </c>
      <c r="B51" s="3" t="s">
        <v>22</v>
      </c>
      <c r="C51" s="4">
        <v>44.76</v>
      </c>
      <c r="D51" s="5">
        <v>14.78</v>
      </c>
      <c r="E51" s="5">
        <v>33.56</v>
      </c>
      <c r="F51" s="5">
        <v>2.0699999999999998</v>
      </c>
      <c r="G51" s="5">
        <v>0</v>
      </c>
      <c r="H51" s="5">
        <v>1.97</v>
      </c>
      <c r="I51" s="5">
        <v>2.86</v>
      </c>
      <c r="J51" s="3">
        <f t="shared" si="4"/>
        <v>4.93</v>
      </c>
      <c r="K51" s="4">
        <v>49.84</v>
      </c>
      <c r="L51" s="3">
        <v>50.16</v>
      </c>
      <c r="M51" s="4">
        <v>83572</v>
      </c>
      <c r="N51" s="5">
        <v>3385</v>
      </c>
      <c r="O51" s="3">
        <f t="shared" si="5"/>
        <v>80187</v>
      </c>
      <c r="P51" s="5">
        <f t="shared" si="6"/>
        <v>4.0503996553869714E-2</v>
      </c>
      <c r="Q51" s="4">
        <f>ROUND($C51+MIN($D51:$E51)*(1-SUMIFS(PrefFlows!$C:$C,PrefFlows!$A:$A,INDEX($D$1:$E$1,MATCH(MIN($D51:$E51),$D51:$E51,0)),PrefFlows!$B:$B,$B51)),2)</f>
        <v>46.91</v>
      </c>
      <c r="R51" s="5">
        <f>ROUND(MAX($D51:$E51)+MIN($D51:$E51)*SUMIFS(PrefFlows!$C:$C,PrefFlows!$A:$A,INDEX($D$1:$E$1,MATCH(MIN($D51:$E51),$D51:$E51,0)),PrefFlows!$B:$B,$B51),2)</f>
        <v>46.19</v>
      </c>
      <c r="S51" s="5">
        <f t="shared" si="7"/>
        <v>0</v>
      </c>
      <c r="T51" s="5">
        <f t="shared" si="8"/>
        <v>1.97</v>
      </c>
      <c r="U51" s="3">
        <f t="shared" si="9"/>
        <v>4.93</v>
      </c>
      <c r="V51" s="6">
        <f t="shared" si="10"/>
        <v>-0.72</v>
      </c>
      <c r="W51" s="4">
        <f>ROUND($S51*SUMIFS(PrefFlows!$C:$C,PrefFlows!$A:$A,$S$1,PrefFlows!$B:$B,$B51)+$T51*SUMIFS(PrefFlows!$C:$C,PrefFlows!$A:$A,$T$1,PrefFlows!$B:$B,$B51)+$U51*SUMIFS(PrefFlows!$C:$C,PrefFlows!$A:$A,$U$1,PrefFlows!$B:$B,$B51),2)</f>
        <v>2.99</v>
      </c>
      <c r="X51" s="3">
        <f>ROUND($S51*(1-SUMIFS(PrefFlows!$C:$C,PrefFlows!$A:$A,$S$1,PrefFlows!$B:$B,$B51))+$T51*(1-SUMIFS(PrefFlows!$C:$C,PrefFlows!$A:$A,$T$1,PrefFlows!$B:$B,$B51))+$U51*(1-SUMIFS(PrefFlows!$C:$C,PrefFlows!$A:$A,$U$1,PrefFlows!$B:$B,$B51)),2)</f>
        <v>3.91</v>
      </c>
      <c r="Y51" s="4">
        <f t="shared" si="11"/>
        <v>3.65</v>
      </c>
      <c r="Z51" s="3">
        <f t="shared" si="12"/>
        <v>3.25</v>
      </c>
      <c r="AA51" s="4">
        <f t="shared" si="13"/>
        <v>0.43330000000000002</v>
      </c>
      <c r="AB51" s="5">
        <f t="shared" si="14"/>
        <v>0.52900000000000003</v>
      </c>
      <c r="AC51" s="5">
        <f t="shared" si="15"/>
        <v>9.5699999999999993E-2</v>
      </c>
      <c r="AD51" s="3">
        <v>5.8798073485692097E-2</v>
      </c>
      <c r="AE51" s="4">
        <f>ROUND(S51*(1-(Exhaust!$B$2+AD51)),2)</f>
        <v>0</v>
      </c>
      <c r="AF51" s="5">
        <f>ROUND(T51*(1-(Exhaust!$B$3+$AD51)),2)</f>
        <v>1.07</v>
      </c>
      <c r="AG51" s="3">
        <f>ROUND(U51*(1-(Exhaust!$B$4+$AD51)),2)</f>
        <v>2.1800000000000002</v>
      </c>
      <c r="AH51" s="4">
        <f>ROUND($AE51*(SUMIFS(PrefFlows!$C:$C,PrefFlows!$A:$A,$S$1,PrefFlows!$B:$B,$B51)+$AC51)+$AF51*(SUMIFS(PrefFlows!$C:$C,PrefFlows!$A:$A,$T$1,PrefFlows!$B:$B,$B51)+$AC51)+$AG51*(SUMIFS(PrefFlows!$C:$C,PrefFlows!$A:$A,$U$1,PrefFlows!$B:$B,$B51)+$AC51),2)</f>
        <v>1.68</v>
      </c>
      <c r="AI51" s="3">
        <f>ROUND($AE51*(1-(SUMIFS(PrefFlows!$C:$C,PrefFlows!$A:$A,$S$1,PrefFlows!$B:$B,$B51)+$AC51))+$AF51*(1-(SUMIFS(PrefFlows!$C:$C,PrefFlows!$A:$A,$T$1,PrefFlows!$B:$B,$B51)+$AC51))+$AG51*(1-(SUMIFS(PrefFlows!$C:$C,PrefFlows!$A:$A,$U$1,PrefFlows!$B:$B,$B51)+$AC51)),2)</f>
        <v>1.57</v>
      </c>
      <c r="AJ51" s="4">
        <f t="shared" si="16"/>
        <v>47.87</v>
      </c>
      <c r="AK51" s="3">
        <f t="shared" si="17"/>
        <v>48.48</v>
      </c>
      <c r="AL51" s="4">
        <f t="shared" si="18"/>
        <v>49.68</v>
      </c>
      <c r="AM51" s="3">
        <f t="shared" si="18"/>
        <v>50.32</v>
      </c>
      <c r="AN51" s="1">
        <f t="shared" si="23"/>
        <v>-0.16</v>
      </c>
      <c r="AO51" s="1">
        <f t="shared" si="24"/>
        <v>-0.26</v>
      </c>
      <c r="AP51" s="3">
        <f t="shared" si="25"/>
        <v>-0.32</v>
      </c>
      <c r="AQ51" s="1" t="b">
        <f t="shared" si="19"/>
        <v>0</v>
      </c>
      <c r="AR51" s="1" t="b">
        <f t="shared" si="19"/>
        <v>0</v>
      </c>
      <c r="AS51" s="3" t="b">
        <f t="shared" si="20"/>
        <v>0</v>
      </c>
      <c r="AT51" s="1">
        <f t="shared" si="21"/>
        <v>-0.1</v>
      </c>
      <c r="AU51" s="1">
        <f t="shared" si="21"/>
        <v>-0.16</v>
      </c>
      <c r="AV51" s="3">
        <f t="shared" si="22"/>
        <v>0.06</v>
      </c>
      <c r="AW51" s="1">
        <f>ROUND(IF($B51="NSW",N51*Meta!$B$6,N51),1)</f>
        <v>3385</v>
      </c>
      <c r="AX51" s="3">
        <f t="shared" si="26"/>
        <v>78411.899999999994</v>
      </c>
    </row>
    <row r="52" spans="1:50" x14ac:dyDescent="0.55000000000000004">
      <c r="A52" s="2" t="s">
        <v>62</v>
      </c>
      <c r="B52" s="3" t="s">
        <v>22</v>
      </c>
      <c r="C52" s="4">
        <v>44.35</v>
      </c>
      <c r="D52" s="5">
        <v>33.950000000000003</v>
      </c>
      <c r="E52" s="5">
        <v>12.2</v>
      </c>
      <c r="F52" s="5">
        <v>2.2400000000000002</v>
      </c>
      <c r="G52" s="5">
        <v>0.86</v>
      </c>
      <c r="H52" s="5">
        <v>4.8</v>
      </c>
      <c r="I52" s="5">
        <v>2.46</v>
      </c>
      <c r="J52" s="3">
        <f t="shared" si="4"/>
        <v>3.84</v>
      </c>
      <c r="K52" s="4">
        <v>47.09</v>
      </c>
      <c r="L52" s="3">
        <v>52.91</v>
      </c>
      <c r="M52" s="4">
        <v>82070</v>
      </c>
      <c r="N52" s="5">
        <v>3782</v>
      </c>
      <c r="O52" s="3">
        <f t="shared" si="5"/>
        <v>78288</v>
      </c>
      <c r="P52" s="5">
        <f t="shared" si="6"/>
        <v>4.6082612404045327E-2</v>
      </c>
      <c r="Q52" s="4">
        <f>ROUND($C52+MIN($D52:$E52)*(1-SUMIFS(PrefFlows!$C:$C,PrefFlows!$A:$A,INDEX($D$1:$E$1,MATCH(MIN($D52:$E52),$D52:$E52,0)),PrefFlows!$B:$B,$B52)),2)</f>
        <v>46.71</v>
      </c>
      <c r="R52" s="5">
        <f>ROUND(MAX($D52:$E52)+MIN($D52:$E52)*SUMIFS(PrefFlows!$C:$C,PrefFlows!$A:$A,INDEX($D$1:$E$1,MATCH(MIN($D52:$E52),$D52:$E52,0)),PrefFlows!$B:$B,$B52),2)</f>
        <v>43.79</v>
      </c>
      <c r="S52" s="5">
        <f t="shared" si="7"/>
        <v>0.86</v>
      </c>
      <c r="T52" s="5">
        <f t="shared" si="8"/>
        <v>4.8</v>
      </c>
      <c r="U52" s="3">
        <f t="shared" si="9"/>
        <v>3.84</v>
      </c>
      <c r="V52" s="6">
        <f t="shared" si="10"/>
        <v>-2.92</v>
      </c>
      <c r="W52" s="4">
        <f>ROUND($S52*SUMIFS(PrefFlows!$C:$C,PrefFlows!$A:$A,$S$1,PrefFlows!$B:$B,$B52)+$T52*SUMIFS(PrefFlows!$C:$C,PrefFlows!$A:$A,$T$1,PrefFlows!$B:$B,$B52)+$U52*SUMIFS(PrefFlows!$C:$C,PrefFlows!$A:$A,$U$1,PrefFlows!$B:$B,$B52),2)</f>
        <v>3.61</v>
      </c>
      <c r="X52" s="3">
        <f>ROUND($S52*(1-SUMIFS(PrefFlows!$C:$C,PrefFlows!$A:$A,$S$1,PrefFlows!$B:$B,$B52))+$T52*(1-SUMIFS(PrefFlows!$C:$C,PrefFlows!$A:$A,$T$1,PrefFlows!$B:$B,$B52))+$U52*(1-SUMIFS(PrefFlows!$C:$C,PrefFlows!$A:$A,$U$1,PrefFlows!$B:$B,$B52)),2)</f>
        <v>5.89</v>
      </c>
      <c r="Y52" s="4">
        <f t="shared" si="11"/>
        <v>3.3</v>
      </c>
      <c r="Z52" s="3">
        <f t="shared" si="12"/>
        <v>6.2</v>
      </c>
      <c r="AA52" s="4">
        <f t="shared" si="13"/>
        <v>0.38</v>
      </c>
      <c r="AB52" s="5">
        <f t="shared" si="14"/>
        <v>0.34739999999999999</v>
      </c>
      <c r="AC52" s="5">
        <f t="shared" si="15"/>
        <v>-3.2599999999999997E-2</v>
      </c>
      <c r="AD52" s="3">
        <v>6.64696219145577E-2</v>
      </c>
      <c r="AE52" s="4">
        <f>ROUND(S52*(1-(Exhaust!$B$2+AD52)),2)</f>
        <v>0.32</v>
      </c>
      <c r="AF52" s="5">
        <f>ROUND(T52*(1-(Exhaust!$B$3+$AD52)),2)</f>
        <v>2.56</v>
      </c>
      <c r="AG52" s="3">
        <f>ROUND(U52*(1-(Exhaust!$B$4+$AD52)),2)</f>
        <v>1.66</v>
      </c>
      <c r="AH52" s="4">
        <f>ROUND($AE52*(SUMIFS(PrefFlows!$C:$C,PrefFlows!$A:$A,$S$1,PrefFlows!$B:$B,$B52)+$AC52)+$AF52*(SUMIFS(PrefFlows!$C:$C,PrefFlows!$A:$A,$T$1,PrefFlows!$B:$B,$B52)+$AC52)+$AG52*(SUMIFS(PrefFlows!$C:$C,PrefFlows!$A:$A,$U$1,PrefFlows!$B:$B,$B52)+$AC52),2)</f>
        <v>1.5</v>
      </c>
      <c r="AI52" s="3">
        <f>ROUND($AE52*(1-(SUMIFS(PrefFlows!$C:$C,PrefFlows!$A:$A,$S$1,PrefFlows!$B:$B,$B52)+$AC52))+$AF52*(1-(SUMIFS(PrefFlows!$C:$C,PrefFlows!$A:$A,$T$1,PrefFlows!$B:$B,$B52)+$AC52))+$AG52*(1-(SUMIFS(PrefFlows!$C:$C,PrefFlows!$A:$A,$U$1,PrefFlows!$B:$B,$B52)+$AC52)),2)</f>
        <v>3.04</v>
      </c>
      <c r="AJ52" s="4">
        <f t="shared" si="16"/>
        <v>45.29</v>
      </c>
      <c r="AK52" s="3">
        <f t="shared" si="17"/>
        <v>49.75</v>
      </c>
      <c r="AL52" s="4">
        <f t="shared" si="18"/>
        <v>47.65</v>
      </c>
      <c r="AM52" s="3">
        <f t="shared" si="18"/>
        <v>52.35</v>
      </c>
      <c r="AN52" s="1">
        <f t="shared" si="23"/>
        <v>-2.91</v>
      </c>
      <c r="AO52" s="1">
        <f t="shared" si="24"/>
        <v>-2.3199999999999998</v>
      </c>
      <c r="AP52" s="3">
        <f t="shared" si="25"/>
        <v>-2.35</v>
      </c>
      <c r="AQ52" s="1" t="b">
        <f t="shared" si="19"/>
        <v>0</v>
      </c>
      <c r="AR52" s="1" t="b">
        <f t="shared" si="19"/>
        <v>0</v>
      </c>
      <c r="AS52" s="3" t="b">
        <f t="shared" si="20"/>
        <v>0</v>
      </c>
      <c r="AT52" s="1">
        <f t="shared" si="21"/>
        <v>0.5900000000000003</v>
      </c>
      <c r="AU52" s="1">
        <f t="shared" si="21"/>
        <v>0.56000000000000005</v>
      </c>
      <c r="AV52" s="3">
        <f t="shared" si="22"/>
        <v>3.0000000000000249E-2</v>
      </c>
      <c r="AW52" s="1">
        <f>ROUND(IF($B52="NSW",N52*Meta!$B$6,N52),1)</f>
        <v>3782</v>
      </c>
      <c r="AX52" s="3">
        <f t="shared" si="26"/>
        <v>75674.2</v>
      </c>
    </row>
    <row r="53" spans="1:50" x14ac:dyDescent="0.55000000000000004">
      <c r="A53" s="2" t="s">
        <v>63</v>
      </c>
      <c r="B53" s="3" t="s">
        <v>30</v>
      </c>
      <c r="C53" s="4">
        <v>30.18</v>
      </c>
      <c r="D53" s="5">
        <v>45.4</v>
      </c>
      <c r="E53" s="5">
        <v>0</v>
      </c>
      <c r="F53" s="5">
        <v>1.34</v>
      </c>
      <c r="G53" s="5">
        <v>1.08</v>
      </c>
      <c r="H53" s="5">
        <v>8.34</v>
      </c>
      <c r="I53" s="5">
        <v>14.74</v>
      </c>
      <c r="J53" s="3">
        <f t="shared" si="4"/>
        <v>15</v>
      </c>
      <c r="K53" s="4">
        <v>55.83</v>
      </c>
      <c r="L53" s="3">
        <v>44.17</v>
      </c>
      <c r="M53" s="4">
        <v>88704</v>
      </c>
      <c r="N53" s="5">
        <v>2954</v>
      </c>
      <c r="O53" s="3">
        <f t="shared" si="5"/>
        <v>85750</v>
      </c>
      <c r="P53" s="5">
        <f t="shared" si="6"/>
        <v>3.330176767676768E-2</v>
      </c>
      <c r="Q53" s="4">
        <f>ROUND($C53+MIN($D53:$E53)*(1-SUMIFS(PrefFlows!$C:$C,PrefFlows!$A:$A,INDEX($D$1:$E$1,MATCH(MIN($D53:$E53),$D53:$E53,0)),PrefFlows!$B:$B,$B53)),2)</f>
        <v>30.18</v>
      </c>
      <c r="R53" s="5">
        <f>ROUND(MAX($D53:$E53)+MIN($D53:$E53)*SUMIFS(PrefFlows!$C:$C,PrefFlows!$A:$A,INDEX($D$1:$E$1,MATCH(MIN($D53:$E53),$D53:$E53,0)),PrefFlows!$B:$B,$B53),2)</f>
        <v>45.4</v>
      </c>
      <c r="S53" s="5">
        <f t="shared" si="7"/>
        <v>1.08</v>
      </c>
      <c r="T53" s="5">
        <f t="shared" si="8"/>
        <v>8.34</v>
      </c>
      <c r="U53" s="3">
        <f t="shared" si="9"/>
        <v>15</v>
      </c>
      <c r="V53" s="6">
        <f t="shared" si="10"/>
        <v>15.22</v>
      </c>
      <c r="W53" s="4">
        <f>ROUND($S53*SUMIFS(PrefFlows!$C:$C,PrefFlows!$A:$A,$S$1,PrefFlows!$B:$B,$B53)+$T53*SUMIFS(PrefFlows!$C:$C,PrefFlows!$A:$A,$T$1,PrefFlows!$B:$B,$B53)+$U53*SUMIFS(PrefFlows!$C:$C,PrefFlows!$A:$A,$U$1,PrefFlows!$B:$B,$B53),2)</f>
        <v>10.36</v>
      </c>
      <c r="X53" s="3">
        <f>ROUND($S53*(1-SUMIFS(PrefFlows!$C:$C,PrefFlows!$A:$A,$S$1,PrefFlows!$B:$B,$B53))+$T53*(1-SUMIFS(PrefFlows!$C:$C,PrefFlows!$A:$A,$T$1,PrefFlows!$B:$B,$B53))+$U53*(1-SUMIFS(PrefFlows!$C:$C,PrefFlows!$A:$A,$U$1,PrefFlows!$B:$B,$B53)),2)</f>
        <v>14.06</v>
      </c>
      <c r="Y53" s="4">
        <f t="shared" si="11"/>
        <v>10.43</v>
      </c>
      <c r="Z53" s="3">
        <f t="shared" si="12"/>
        <v>13.99</v>
      </c>
      <c r="AA53" s="4">
        <f t="shared" si="13"/>
        <v>0.42420000000000002</v>
      </c>
      <c r="AB53" s="5">
        <f t="shared" si="14"/>
        <v>0.42709999999999998</v>
      </c>
      <c r="AC53" s="5">
        <f t="shared" si="15"/>
        <v>2.8999999999999998E-3</v>
      </c>
      <c r="AD53" s="3">
        <v>3.5936310757181698E-2</v>
      </c>
      <c r="AE53" s="4">
        <f>ROUND(S53*(1-(Exhaust!$B$2+AD53)),2)</f>
        <v>0.44</v>
      </c>
      <c r="AF53" s="5">
        <f>ROUND(T53*(1-(Exhaust!$B$3+$AD53)),2)</f>
        <v>4.7</v>
      </c>
      <c r="AG53" s="3">
        <f>ROUND(U53*(1-(Exhaust!$B$4+$AD53)),2)</f>
        <v>6.96</v>
      </c>
      <c r="AH53" s="4">
        <f>ROUND($AE53*(SUMIFS(PrefFlows!$C:$C,PrefFlows!$A:$A,$S$1,PrefFlows!$B:$B,$B53)+$AC53)+$AF53*(SUMIFS(PrefFlows!$C:$C,PrefFlows!$A:$A,$T$1,PrefFlows!$B:$B,$B53)+$AC53)+$AG53*(SUMIFS(PrefFlows!$C:$C,PrefFlows!$A:$A,$U$1,PrefFlows!$B:$B,$B53)+$AC53),2)</f>
        <v>5.01</v>
      </c>
      <c r="AI53" s="3">
        <f>ROUND($AE53*(1-(SUMIFS(PrefFlows!$C:$C,PrefFlows!$A:$A,$S$1,PrefFlows!$B:$B,$B53)+$AC53))+$AF53*(1-(SUMIFS(PrefFlows!$C:$C,PrefFlows!$A:$A,$T$1,PrefFlows!$B:$B,$B53)+$AC53))+$AG53*(1-(SUMIFS(PrefFlows!$C:$C,PrefFlows!$A:$A,$U$1,PrefFlows!$B:$B,$B53)+$AC53)),2)</f>
        <v>7.09</v>
      </c>
      <c r="AJ53" s="4">
        <f t="shared" si="16"/>
        <v>50.41</v>
      </c>
      <c r="AK53" s="3">
        <f t="shared" si="17"/>
        <v>37.270000000000003</v>
      </c>
      <c r="AL53" s="4">
        <f t="shared" si="18"/>
        <v>57.49</v>
      </c>
      <c r="AM53" s="3">
        <f t="shared" si="18"/>
        <v>42.51</v>
      </c>
      <c r="AN53" s="1">
        <f t="shared" si="23"/>
        <v>5.83</v>
      </c>
      <c r="AO53" s="1">
        <f t="shared" si="24"/>
        <v>7.57</v>
      </c>
      <c r="AP53" s="3">
        <f t="shared" si="25"/>
        <v>7.49</v>
      </c>
      <c r="AQ53" s="1" t="b">
        <f t="shared" si="19"/>
        <v>0</v>
      </c>
      <c r="AR53" s="1" t="b">
        <f t="shared" si="19"/>
        <v>0</v>
      </c>
      <c r="AS53" s="3" t="b">
        <f t="shared" si="20"/>
        <v>0</v>
      </c>
      <c r="AT53" s="1">
        <f t="shared" si="21"/>
        <v>1.7400000000000002</v>
      </c>
      <c r="AU53" s="1">
        <f t="shared" si="21"/>
        <v>1.6600000000000001</v>
      </c>
      <c r="AV53" s="3">
        <f t="shared" si="22"/>
        <v>8.0000000000000071E-2</v>
      </c>
      <c r="AW53" s="1">
        <f>ROUND(IF($B53="NSW",N53*Meta!$B$6,N53),1)</f>
        <v>2954</v>
      </c>
      <c r="AX53" s="3">
        <f t="shared" si="26"/>
        <v>76100.2</v>
      </c>
    </row>
    <row r="54" spans="1:50" x14ac:dyDescent="0.55000000000000004">
      <c r="A54" s="2" t="s">
        <v>64</v>
      </c>
      <c r="B54" s="3" t="s">
        <v>12</v>
      </c>
      <c r="C54" s="4">
        <v>64.25</v>
      </c>
      <c r="D54" s="5">
        <v>27.79</v>
      </c>
      <c r="E54" s="5">
        <v>0</v>
      </c>
      <c r="F54" s="5">
        <v>0</v>
      </c>
      <c r="G54" s="5">
        <v>0</v>
      </c>
      <c r="H54" s="5">
        <v>5.49</v>
      </c>
      <c r="I54" s="5">
        <v>2.4700000000000002</v>
      </c>
      <c r="J54" s="3">
        <f t="shared" si="4"/>
        <v>2.4700000000000002</v>
      </c>
      <c r="K54" s="4">
        <v>31.75</v>
      </c>
      <c r="L54" s="3">
        <v>68.25</v>
      </c>
      <c r="M54" s="4">
        <v>84597</v>
      </c>
      <c r="N54" s="5">
        <v>6490</v>
      </c>
      <c r="O54" s="3">
        <f t="shared" si="5"/>
        <v>78107</v>
      </c>
      <c r="P54" s="5">
        <f t="shared" si="6"/>
        <v>7.6716668439779187E-2</v>
      </c>
      <c r="Q54" s="4">
        <f>ROUND($C54+MIN($D54:$E54)*(1-SUMIFS(PrefFlows!$C:$C,PrefFlows!$A:$A,INDEX($D$1:$E$1,MATCH(MIN($D54:$E54),$D54:$E54,0)),PrefFlows!$B:$B,$B54)),2)</f>
        <v>64.25</v>
      </c>
      <c r="R54" s="5">
        <f>ROUND(MAX($D54:$E54)+MIN($D54:$E54)*SUMIFS(PrefFlows!$C:$C,PrefFlows!$A:$A,INDEX($D$1:$E$1,MATCH(MIN($D54:$E54),$D54:$E54,0)),PrefFlows!$B:$B,$B54),2)</f>
        <v>27.79</v>
      </c>
      <c r="S54" s="5">
        <f t="shared" si="7"/>
        <v>0</v>
      </c>
      <c r="T54" s="5">
        <f t="shared" si="8"/>
        <v>5.49</v>
      </c>
      <c r="U54" s="3">
        <f t="shared" si="9"/>
        <v>2.4700000000000002</v>
      </c>
      <c r="V54" s="6">
        <f t="shared" si="10"/>
        <v>-36.46</v>
      </c>
      <c r="W54" s="4">
        <f>ROUND($S54*SUMIFS(PrefFlows!$C:$C,PrefFlows!$A:$A,$S$1,PrefFlows!$B:$B,$B54)+$T54*SUMIFS(PrefFlows!$C:$C,PrefFlows!$A:$A,$T$1,PrefFlows!$B:$B,$B54)+$U54*SUMIFS(PrefFlows!$C:$C,PrefFlows!$A:$A,$U$1,PrefFlows!$B:$B,$B54),2)</f>
        <v>2.36</v>
      </c>
      <c r="X54" s="3">
        <f>ROUND($S54*(1-SUMIFS(PrefFlows!$C:$C,PrefFlows!$A:$A,$S$1,PrefFlows!$B:$B,$B54))+$T54*(1-SUMIFS(PrefFlows!$C:$C,PrefFlows!$A:$A,$T$1,PrefFlows!$B:$B,$B54))+$U54*(1-SUMIFS(PrefFlows!$C:$C,PrefFlows!$A:$A,$U$1,PrefFlows!$B:$B,$B54)),2)</f>
        <v>5.6</v>
      </c>
      <c r="Y54" s="4">
        <f t="shared" si="11"/>
        <v>3.96</v>
      </c>
      <c r="Z54" s="3">
        <f t="shared" si="12"/>
        <v>4</v>
      </c>
      <c r="AA54" s="4">
        <f t="shared" si="13"/>
        <v>0.29649999999999999</v>
      </c>
      <c r="AB54" s="5">
        <f t="shared" si="14"/>
        <v>0.4975</v>
      </c>
      <c r="AC54" s="5">
        <f t="shared" si="15"/>
        <v>0.20100000000000001</v>
      </c>
      <c r="AD54" s="3">
        <v>0.11785436628585599</v>
      </c>
      <c r="AE54" s="4">
        <f>ROUND(S54*(1-(Exhaust!$B$2+AD54)),2)</f>
        <v>0</v>
      </c>
      <c r="AF54" s="5">
        <f>ROUND(T54*(1-(Exhaust!$B$3+$AD54)),2)</f>
        <v>2.65</v>
      </c>
      <c r="AG54" s="3">
        <f>ROUND(U54*(1-(Exhaust!$B$4+$AD54)),2)</f>
        <v>0.94</v>
      </c>
      <c r="AH54" s="4">
        <f>ROUND($AE54*(SUMIFS(PrefFlows!$C:$C,PrefFlows!$A:$A,$S$1,PrefFlows!$B:$B,$B54)+$AC54)+$AF54*(SUMIFS(PrefFlows!$C:$C,PrefFlows!$A:$A,$T$1,PrefFlows!$B:$B,$B54)+$AC54)+$AG54*(SUMIFS(PrefFlows!$C:$C,PrefFlows!$A:$A,$U$1,PrefFlows!$B:$B,$B54)+$AC54),2)</f>
        <v>1.73</v>
      </c>
      <c r="AI54" s="3">
        <f>ROUND($AE54*(1-(SUMIFS(PrefFlows!$C:$C,PrefFlows!$A:$A,$S$1,PrefFlows!$B:$B,$B54)+$AC54))+$AF54*(1-(SUMIFS(PrefFlows!$C:$C,PrefFlows!$A:$A,$T$1,PrefFlows!$B:$B,$B54)+$AC54))+$AG54*(1-(SUMIFS(PrefFlows!$C:$C,PrefFlows!$A:$A,$U$1,PrefFlows!$B:$B,$B54)+$AC54)),2)</f>
        <v>1.86</v>
      </c>
      <c r="AJ54" s="4">
        <f t="shared" si="16"/>
        <v>29.52</v>
      </c>
      <c r="AK54" s="3">
        <f t="shared" si="17"/>
        <v>66.11</v>
      </c>
      <c r="AL54" s="4">
        <f t="shared" si="18"/>
        <v>30.87</v>
      </c>
      <c r="AM54" s="3">
        <f t="shared" si="18"/>
        <v>69.13</v>
      </c>
      <c r="AN54" s="1">
        <f t="shared" si="23"/>
        <v>-18.25</v>
      </c>
      <c r="AO54" s="1">
        <f t="shared" si="24"/>
        <v>-18.97</v>
      </c>
      <c r="AP54" s="3">
        <f t="shared" si="25"/>
        <v>-19.13</v>
      </c>
      <c r="AQ54" s="1" t="b">
        <f t="shared" si="19"/>
        <v>0</v>
      </c>
      <c r="AR54" s="1" t="b">
        <f t="shared" si="19"/>
        <v>0</v>
      </c>
      <c r="AS54" s="3" t="b">
        <f t="shared" si="20"/>
        <v>0</v>
      </c>
      <c r="AT54" s="1">
        <f t="shared" si="21"/>
        <v>-0.71999999999999886</v>
      </c>
      <c r="AU54" s="1">
        <f t="shared" si="21"/>
        <v>-0.87999999999999901</v>
      </c>
      <c r="AV54" s="3">
        <f t="shared" si="22"/>
        <v>0.16000000000000014</v>
      </c>
      <c r="AW54" s="1">
        <f>ROUND(IF($B54="NSW",N54*Meta!$B$6,N54),1)</f>
        <v>4263.8999999999996</v>
      </c>
      <c r="AX54" s="3">
        <f t="shared" si="26"/>
        <v>78262.399999999994</v>
      </c>
    </row>
    <row r="55" spans="1:50" x14ac:dyDescent="0.55000000000000004">
      <c r="A55" s="2" t="s">
        <v>65</v>
      </c>
      <c r="B55" s="3" t="s">
        <v>16</v>
      </c>
      <c r="C55" s="4">
        <v>41.39</v>
      </c>
      <c r="D55" s="5">
        <v>41.02</v>
      </c>
      <c r="E55" s="5">
        <v>0</v>
      </c>
      <c r="F55" s="5">
        <v>2.2200000000000002</v>
      </c>
      <c r="G55" s="5">
        <v>0</v>
      </c>
      <c r="H55" s="5">
        <v>14.44</v>
      </c>
      <c r="I55" s="5">
        <v>0.93</v>
      </c>
      <c r="J55" s="3">
        <f t="shared" si="4"/>
        <v>3.15</v>
      </c>
      <c r="K55" s="4">
        <v>45.52</v>
      </c>
      <c r="L55" s="3">
        <v>54.48</v>
      </c>
      <c r="M55" s="4">
        <v>69525</v>
      </c>
      <c r="N55" s="5">
        <v>1893</v>
      </c>
      <c r="O55" s="3">
        <f t="shared" si="5"/>
        <v>67632</v>
      </c>
      <c r="P55" s="5">
        <f t="shared" si="6"/>
        <v>2.7227615965480043E-2</v>
      </c>
      <c r="Q55" s="4">
        <f>ROUND($C55+MIN($D55:$E55)*(1-SUMIFS(PrefFlows!$C:$C,PrefFlows!$A:$A,INDEX($D$1:$E$1,MATCH(MIN($D55:$E55),$D55:$E55,0)),PrefFlows!$B:$B,$B55)),2)</f>
        <v>41.39</v>
      </c>
      <c r="R55" s="5">
        <f>ROUND(MAX($D55:$E55)+MIN($D55:$E55)*SUMIFS(PrefFlows!$C:$C,PrefFlows!$A:$A,INDEX($D$1:$E$1,MATCH(MIN($D55:$E55),$D55:$E55,0)),PrefFlows!$B:$B,$B55),2)</f>
        <v>41.02</v>
      </c>
      <c r="S55" s="5">
        <f t="shared" si="7"/>
        <v>0</v>
      </c>
      <c r="T55" s="5">
        <f t="shared" si="8"/>
        <v>14.44</v>
      </c>
      <c r="U55" s="3">
        <f t="shared" si="9"/>
        <v>3.15</v>
      </c>
      <c r="V55" s="6">
        <f t="shared" si="10"/>
        <v>-0.37</v>
      </c>
      <c r="W55" s="4">
        <f>ROUND($S55*SUMIFS(PrefFlows!$C:$C,PrefFlows!$A:$A,$S$1,PrefFlows!$B:$B,$B55)+$T55*SUMIFS(PrefFlows!$C:$C,PrefFlows!$A:$A,$T$1,PrefFlows!$B:$B,$B55)+$U55*SUMIFS(PrefFlows!$C:$C,PrefFlows!$A:$A,$U$1,PrefFlows!$B:$B,$B55),2)</f>
        <v>4.87</v>
      </c>
      <c r="X55" s="3">
        <f>ROUND($S55*(1-SUMIFS(PrefFlows!$C:$C,PrefFlows!$A:$A,$S$1,PrefFlows!$B:$B,$B55))+$T55*(1-SUMIFS(PrefFlows!$C:$C,PrefFlows!$A:$A,$T$1,PrefFlows!$B:$B,$B55))+$U55*(1-SUMIFS(PrefFlows!$C:$C,PrefFlows!$A:$A,$U$1,PrefFlows!$B:$B,$B55)),2)</f>
        <v>12.72</v>
      </c>
      <c r="Y55" s="4">
        <f t="shared" si="11"/>
        <v>4.5</v>
      </c>
      <c r="Z55" s="3">
        <f t="shared" si="12"/>
        <v>13.09</v>
      </c>
      <c r="AA55" s="4">
        <f t="shared" si="13"/>
        <v>0.27689999999999998</v>
      </c>
      <c r="AB55" s="5">
        <f t="shared" si="14"/>
        <v>0.25580000000000003</v>
      </c>
      <c r="AC55" s="5">
        <f t="shared" si="15"/>
        <v>-2.1100000000000001E-2</v>
      </c>
      <c r="AD55" s="3">
        <v>-6.7185484875168502E-3</v>
      </c>
      <c r="AE55" s="4">
        <f>ROUND(S55*(1-(Exhaust!$B$2+AD55)),2)</f>
        <v>0</v>
      </c>
      <c r="AF55" s="5">
        <f>ROUND(T55*(1-(Exhaust!$B$3+$AD55)),2)</f>
        <v>8.76</v>
      </c>
      <c r="AG55" s="3">
        <f>ROUND(U55*(1-(Exhaust!$B$4+$AD55)),2)</f>
        <v>1.6</v>
      </c>
      <c r="AH55" s="4">
        <f>ROUND($AE55*(SUMIFS(PrefFlows!$C:$C,PrefFlows!$A:$A,$S$1,PrefFlows!$B:$B,$B55)+$AC55)+$AF55*(SUMIFS(PrefFlows!$C:$C,PrefFlows!$A:$A,$T$1,PrefFlows!$B:$B,$B55)+$AC55)+$AG55*(SUMIFS(PrefFlows!$C:$C,PrefFlows!$A:$A,$U$1,PrefFlows!$B:$B,$B55)+$AC55),2)</f>
        <v>2.56</v>
      </c>
      <c r="AI55" s="3">
        <f>ROUND($AE55*(1-(SUMIFS(PrefFlows!$C:$C,PrefFlows!$A:$A,$S$1,PrefFlows!$B:$B,$B55)+$AC55))+$AF55*(1-(SUMIFS(PrefFlows!$C:$C,PrefFlows!$A:$A,$T$1,PrefFlows!$B:$B,$B55)+$AC55))+$AG55*(1-(SUMIFS(PrefFlows!$C:$C,PrefFlows!$A:$A,$U$1,PrefFlows!$B:$B,$B55)+$AC55)),2)</f>
        <v>7.8</v>
      </c>
      <c r="AJ55" s="4">
        <f t="shared" si="16"/>
        <v>43.58</v>
      </c>
      <c r="AK55" s="3">
        <f t="shared" si="17"/>
        <v>49.19</v>
      </c>
      <c r="AL55" s="4">
        <f t="shared" si="18"/>
        <v>46.98</v>
      </c>
      <c r="AM55" s="3">
        <f t="shared" si="18"/>
        <v>53.02</v>
      </c>
      <c r="AN55" s="1">
        <f t="shared" si="23"/>
        <v>-4.4800000000000004</v>
      </c>
      <c r="AO55" s="1">
        <f t="shared" si="24"/>
        <v>-2.64</v>
      </c>
      <c r="AP55" s="3">
        <f t="shared" si="25"/>
        <v>-3.02</v>
      </c>
      <c r="AQ55" s="1" t="b">
        <f t="shared" si="19"/>
        <v>0</v>
      </c>
      <c r="AR55" s="1" t="b">
        <f t="shared" si="19"/>
        <v>0</v>
      </c>
      <c r="AS55" s="3" t="b">
        <f t="shared" si="20"/>
        <v>0</v>
      </c>
      <c r="AT55" s="1">
        <f t="shared" si="21"/>
        <v>1.8400000000000003</v>
      </c>
      <c r="AU55" s="1">
        <f t="shared" si="21"/>
        <v>1.4600000000000004</v>
      </c>
      <c r="AV55" s="3">
        <f t="shared" si="22"/>
        <v>0.37999999999999989</v>
      </c>
      <c r="AW55" s="1">
        <f>ROUND(IF($B55="NSW",N55*Meta!$B$6,N55),1)</f>
        <v>1893</v>
      </c>
      <c r="AX55" s="3">
        <f t="shared" si="26"/>
        <v>63362.3</v>
      </c>
    </row>
    <row r="56" spans="1:50" x14ac:dyDescent="0.55000000000000004">
      <c r="A56" s="2" t="s">
        <v>66</v>
      </c>
      <c r="B56" s="3" t="s">
        <v>36</v>
      </c>
      <c r="C56" s="4">
        <v>51.1</v>
      </c>
      <c r="D56" s="5">
        <v>31.23</v>
      </c>
      <c r="E56" s="5">
        <v>0</v>
      </c>
      <c r="F56" s="5">
        <v>0</v>
      </c>
      <c r="G56" s="5">
        <v>0</v>
      </c>
      <c r="H56" s="5">
        <v>13.38</v>
      </c>
      <c r="I56" s="5">
        <v>4.29</v>
      </c>
      <c r="J56" s="3">
        <f t="shared" si="4"/>
        <v>4.29</v>
      </c>
      <c r="K56" s="4">
        <v>34.93</v>
      </c>
      <c r="L56" s="3">
        <v>65.069999999999993</v>
      </c>
      <c r="M56" s="4">
        <v>111309</v>
      </c>
      <c r="N56" s="5">
        <v>2629</v>
      </c>
      <c r="O56" s="3">
        <f t="shared" si="5"/>
        <v>108680</v>
      </c>
      <c r="P56" s="5">
        <f t="shared" si="6"/>
        <v>2.3618934677339658E-2</v>
      </c>
      <c r="Q56" s="4">
        <f>ROUND($C56+MIN($D56:$E56)*(1-SUMIFS(PrefFlows!$C:$C,PrefFlows!$A:$A,INDEX($D$1:$E$1,MATCH(MIN($D56:$E56),$D56:$E56,0)),PrefFlows!$B:$B,$B56)),2)</f>
        <v>51.1</v>
      </c>
      <c r="R56" s="5">
        <f>ROUND(MAX($D56:$E56)+MIN($D56:$E56)*SUMIFS(PrefFlows!$C:$C,PrefFlows!$A:$A,INDEX($D$1:$E$1,MATCH(MIN($D56:$E56),$D56:$E56,0)),PrefFlows!$B:$B,$B56),2)</f>
        <v>31.23</v>
      </c>
      <c r="S56" s="5">
        <f t="shared" si="7"/>
        <v>0</v>
      </c>
      <c r="T56" s="5">
        <f t="shared" si="8"/>
        <v>13.38</v>
      </c>
      <c r="U56" s="3">
        <f t="shared" si="9"/>
        <v>4.29</v>
      </c>
      <c r="V56" s="6">
        <f t="shared" si="10"/>
        <v>-19.87</v>
      </c>
      <c r="W56" s="4">
        <f>ROUND($S56*SUMIFS(PrefFlows!$C:$C,PrefFlows!$A:$A,$S$1,PrefFlows!$B:$B,$B56)+$T56*SUMIFS(PrefFlows!$C:$C,PrefFlows!$A:$A,$T$1,PrefFlows!$B:$B,$B56)+$U56*SUMIFS(PrefFlows!$C:$C,PrefFlows!$A:$A,$U$1,PrefFlows!$B:$B,$B56),2)</f>
        <v>4.84</v>
      </c>
      <c r="X56" s="3">
        <f>ROUND($S56*(1-SUMIFS(PrefFlows!$C:$C,PrefFlows!$A:$A,$S$1,PrefFlows!$B:$B,$B56))+$T56*(1-SUMIFS(PrefFlows!$C:$C,PrefFlows!$A:$A,$T$1,PrefFlows!$B:$B,$B56))+$U56*(1-SUMIFS(PrefFlows!$C:$C,PrefFlows!$A:$A,$U$1,PrefFlows!$B:$B,$B56)),2)</f>
        <v>12.83</v>
      </c>
      <c r="Y56" s="4">
        <f t="shared" si="11"/>
        <v>3.7</v>
      </c>
      <c r="Z56" s="3">
        <f t="shared" si="12"/>
        <v>13.97</v>
      </c>
      <c r="AA56" s="4">
        <f t="shared" si="13"/>
        <v>0.27389999999999998</v>
      </c>
      <c r="AB56" s="5">
        <f t="shared" si="14"/>
        <v>0.2094</v>
      </c>
      <c r="AC56" s="5">
        <f t="shared" si="15"/>
        <v>-6.4500000000000002E-2</v>
      </c>
      <c r="AD56" s="3">
        <v>-0.183822958868646</v>
      </c>
      <c r="AE56" s="4">
        <f>ROUND(S56*(1-(Exhaust!$B$2+AD56)),2)</f>
        <v>0</v>
      </c>
      <c r="AF56" s="5">
        <f>ROUND(T56*(1-(Exhaust!$B$3+$AD56)),2)</f>
        <v>10.49</v>
      </c>
      <c r="AG56" s="3">
        <f>ROUND(U56*(1-(Exhaust!$B$4+$AD56)),2)</f>
        <v>2.93</v>
      </c>
      <c r="AH56" s="4">
        <f>ROUND($AE56*(SUMIFS(PrefFlows!$C:$C,PrefFlows!$A:$A,$S$1,PrefFlows!$B:$B,$B56)+$AC56)+$AF56*(SUMIFS(PrefFlows!$C:$C,PrefFlows!$A:$A,$T$1,PrefFlows!$B:$B,$B56)+$AC56)+$AG56*(SUMIFS(PrefFlows!$C:$C,PrefFlows!$A:$A,$U$1,PrefFlows!$B:$B,$B56)+$AC56),2)</f>
        <v>2.69</v>
      </c>
      <c r="AI56" s="3">
        <f>ROUND($AE56*(1-(SUMIFS(PrefFlows!$C:$C,PrefFlows!$A:$A,$S$1,PrefFlows!$B:$B,$B56)+$AC56))+$AF56*(1-(SUMIFS(PrefFlows!$C:$C,PrefFlows!$A:$A,$T$1,PrefFlows!$B:$B,$B56)+$AC56))+$AG56*(1-(SUMIFS(PrefFlows!$C:$C,PrefFlows!$A:$A,$U$1,PrefFlows!$B:$B,$B56)+$AC56)),2)</f>
        <v>10.73</v>
      </c>
      <c r="AJ56" s="4">
        <f t="shared" si="16"/>
        <v>33.92</v>
      </c>
      <c r="AK56" s="3">
        <f t="shared" si="17"/>
        <v>61.83</v>
      </c>
      <c r="AL56" s="4">
        <f t="shared" si="18"/>
        <v>35.43</v>
      </c>
      <c r="AM56" s="3">
        <f t="shared" si="18"/>
        <v>64.569999999999993</v>
      </c>
      <c r="AN56" s="1">
        <f t="shared" si="23"/>
        <v>-15.07</v>
      </c>
      <c r="AO56" s="1">
        <f t="shared" si="24"/>
        <v>-13.77</v>
      </c>
      <c r="AP56" s="3">
        <f t="shared" si="25"/>
        <v>-14.57</v>
      </c>
      <c r="AQ56" s="1" t="b">
        <f t="shared" si="19"/>
        <v>0</v>
      </c>
      <c r="AR56" s="1" t="b">
        <f t="shared" si="19"/>
        <v>0</v>
      </c>
      <c r="AS56" s="3" t="b">
        <f t="shared" si="20"/>
        <v>0</v>
      </c>
      <c r="AT56" s="1">
        <f t="shared" si="21"/>
        <v>1.3000000000000007</v>
      </c>
      <c r="AU56" s="1">
        <f t="shared" si="21"/>
        <v>0.5</v>
      </c>
      <c r="AV56" s="3">
        <f t="shared" si="22"/>
        <v>0.80000000000000071</v>
      </c>
      <c r="AW56" s="1">
        <f>ROUND(IF($B56="NSW",N56*Meta!$B$6,N56),1)</f>
        <v>2629</v>
      </c>
      <c r="AX56" s="3">
        <f t="shared" si="26"/>
        <v>104950</v>
      </c>
    </row>
    <row r="57" spans="1:50" x14ac:dyDescent="0.55000000000000004">
      <c r="A57" s="2" t="s">
        <v>67</v>
      </c>
      <c r="B57" s="3" t="s">
        <v>30</v>
      </c>
      <c r="C57" s="4">
        <v>45.18</v>
      </c>
      <c r="D57" s="5">
        <v>35.1</v>
      </c>
      <c r="E57" s="5">
        <v>0</v>
      </c>
      <c r="F57" s="5">
        <v>1.43</v>
      </c>
      <c r="G57" s="5">
        <v>1.24</v>
      </c>
      <c r="H57" s="5">
        <v>14.57</v>
      </c>
      <c r="I57" s="5">
        <v>3.72</v>
      </c>
      <c r="J57" s="3">
        <f t="shared" si="4"/>
        <v>3.91</v>
      </c>
      <c r="K57" s="4">
        <v>40.86</v>
      </c>
      <c r="L57" s="3">
        <v>59.14</v>
      </c>
      <c r="M57" s="4">
        <v>83449</v>
      </c>
      <c r="N57" s="5">
        <v>3548</v>
      </c>
      <c r="O57" s="3">
        <f t="shared" si="5"/>
        <v>79901</v>
      </c>
      <c r="P57" s="5">
        <f t="shared" si="6"/>
        <v>4.2516986422845092E-2</v>
      </c>
      <c r="Q57" s="4">
        <f>ROUND($C57+MIN($D57:$E57)*(1-SUMIFS(PrefFlows!$C:$C,PrefFlows!$A:$A,INDEX($D$1:$E$1,MATCH(MIN($D57:$E57),$D57:$E57,0)),PrefFlows!$B:$B,$B57)),2)</f>
        <v>45.18</v>
      </c>
      <c r="R57" s="5">
        <f>ROUND(MAX($D57:$E57)+MIN($D57:$E57)*SUMIFS(PrefFlows!$C:$C,PrefFlows!$A:$A,INDEX($D$1:$E$1,MATCH(MIN($D57:$E57),$D57:$E57,0)),PrefFlows!$B:$B,$B57),2)</f>
        <v>35.1</v>
      </c>
      <c r="S57" s="5">
        <f t="shared" si="7"/>
        <v>1.24</v>
      </c>
      <c r="T57" s="5">
        <f t="shared" si="8"/>
        <v>14.57</v>
      </c>
      <c r="U57" s="3">
        <f t="shared" si="9"/>
        <v>3.91</v>
      </c>
      <c r="V57" s="6">
        <f t="shared" si="10"/>
        <v>-10.08</v>
      </c>
      <c r="W57" s="4">
        <f>ROUND($S57*SUMIFS(PrefFlows!$C:$C,PrefFlows!$A:$A,$S$1,PrefFlows!$B:$B,$B57)+$T57*SUMIFS(PrefFlows!$C:$C,PrefFlows!$A:$A,$T$1,PrefFlows!$B:$B,$B57)+$U57*SUMIFS(PrefFlows!$C:$C,PrefFlows!$A:$A,$U$1,PrefFlows!$B:$B,$B57),2)</f>
        <v>6.17</v>
      </c>
      <c r="X57" s="3">
        <f>ROUND($S57*(1-SUMIFS(PrefFlows!$C:$C,PrefFlows!$A:$A,$S$1,PrefFlows!$B:$B,$B57))+$T57*(1-SUMIFS(PrefFlows!$C:$C,PrefFlows!$A:$A,$T$1,PrefFlows!$B:$B,$B57))+$U57*(1-SUMIFS(PrefFlows!$C:$C,PrefFlows!$A:$A,$U$1,PrefFlows!$B:$B,$B57)),2)</f>
        <v>13.55</v>
      </c>
      <c r="Y57" s="4">
        <f t="shared" si="11"/>
        <v>5.76</v>
      </c>
      <c r="Z57" s="3">
        <f t="shared" si="12"/>
        <v>13.96</v>
      </c>
      <c r="AA57" s="4">
        <f t="shared" si="13"/>
        <v>0.31290000000000001</v>
      </c>
      <c r="AB57" s="5">
        <f t="shared" si="14"/>
        <v>0.29210000000000003</v>
      </c>
      <c r="AC57" s="5">
        <f t="shared" si="15"/>
        <v>-2.0799999999999999E-2</v>
      </c>
      <c r="AD57" s="3">
        <v>1.29727764232179E-2</v>
      </c>
      <c r="AE57" s="4">
        <f>ROUND(S57*(1-(Exhaust!$B$2+AD57)),2)</f>
        <v>0.53</v>
      </c>
      <c r="AF57" s="5">
        <f>ROUND(T57*(1-(Exhaust!$B$3+$AD57)),2)</f>
        <v>8.5500000000000007</v>
      </c>
      <c r="AG57" s="3">
        <f>ROUND(U57*(1-(Exhaust!$B$4+$AD57)),2)</f>
        <v>1.9</v>
      </c>
      <c r="AH57" s="4">
        <f>ROUND($AE57*(SUMIFS(PrefFlows!$C:$C,PrefFlows!$A:$A,$S$1,PrefFlows!$B:$B,$B57)+$AC57)+$AF57*(SUMIFS(PrefFlows!$C:$C,PrefFlows!$A:$A,$T$1,PrefFlows!$B:$B,$B57)+$AC57)+$AG57*(SUMIFS(PrefFlows!$C:$C,PrefFlows!$A:$A,$U$1,PrefFlows!$B:$B,$B57)+$AC57),2)</f>
        <v>3.09</v>
      </c>
      <c r="AI57" s="3">
        <f>ROUND($AE57*(1-(SUMIFS(PrefFlows!$C:$C,PrefFlows!$A:$A,$S$1,PrefFlows!$B:$B,$B57)+$AC57))+$AF57*(1-(SUMIFS(PrefFlows!$C:$C,PrefFlows!$A:$A,$T$1,PrefFlows!$B:$B,$B57)+$AC57))+$AG57*(1-(SUMIFS(PrefFlows!$C:$C,PrefFlows!$A:$A,$U$1,PrefFlows!$B:$B,$B57)+$AC57)),2)</f>
        <v>7.89</v>
      </c>
      <c r="AJ57" s="4">
        <f t="shared" si="16"/>
        <v>38.19</v>
      </c>
      <c r="AK57" s="3">
        <f t="shared" si="17"/>
        <v>53.07</v>
      </c>
      <c r="AL57" s="4">
        <f t="shared" si="18"/>
        <v>41.85</v>
      </c>
      <c r="AM57" s="3">
        <f t="shared" si="18"/>
        <v>58.15</v>
      </c>
      <c r="AN57" s="1">
        <f t="shared" si="23"/>
        <v>-9.14</v>
      </c>
      <c r="AO57" s="1">
        <f t="shared" si="24"/>
        <v>-7.92</v>
      </c>
      <c r="AP57" s="3">
        <f t="shared" si="25"/>
        <v>-8.15</v>
      </c>
      <c r="AQ57" s="1" t="b">
        <f t="shared" si="19"/>
        <v>0</v>
      </c>
      <c r="AR57" s="1" t="b">
        <f t="shared" si="19"/>
        <v>0</v>
      </c>
      <c r="AS57" s="3" t="b">
        <f t="shared" si="20"/>
        <v>0</v>
      </c>
      <c r="AT57" s="1">
        <f t="shared" si="21"/>
        <v>1.2200000000000006</v>
      </c>
      <c r="AU57" s="1">
        <f t="shared" si="21"/>
        <v>0.99000000000000021</v>
      </c>
      <c r="AV57" s="3">
        <f t="shared" si="22"/>
        <v>0.23000000000000043</v>
      </c>
      <c r="AW57" s="1">
        <f>ROUND(IF($B57="NSW",N57*Meta!$B$6,N57),1)</f>
        <v>3548</v>
      </c>
      <c r="AX57" s="3">
        <f t="shared" si="26"/>
        <v>74061</v>
      </c>
    </row>
    <row r="58" spans="1:50" x14ac:dyDescent="0.55000000000000004">
      <c r="A58" s="2" t="s">
        <v>68</v>
      </c>
      <c r="B58" s="3" t="s">
        <v>9</v>
      </c>
      <c r="C58" s="4">
        <v>60.22</v>
      </c>
      <c r="D58" s="5">
        <v>22.84</v>
      </c>
      <c r="E58" s="5">
        <v>0</v>
      </c>
      <c r="F58" s="5">
        <v>2.02</v>
      </c>
      <c r="G58" s="5">
        <v>0</v>
      </c>
      <c r="H58" s="5">
        <v>9.3800000000000008</v>
      </c>
      <c r="I58" s="5">
        <v>5.54</v>
      </c>
      <c r="J58" s="3">
        <f t="shared" si="4"/>
        <v>7.56</v>
      </c>
      <c r="K58" s="4">
        <v>28.54</v>
      </c>
      <c r="L58" s="3">
        <v>71.459999999999994</v>
      </c>
      <c r="M58" s="4">
        <v>87868</v>
      </c>
      <c r="N58" s="5">
        <v>3712</v>
      </c>
      <c r="O58" s="3">
        <f t="shared" si="5"/>
        <v>84156</v>
      </c>
      <c r="P58" s="5">
        <f t="shared" si="6"/>
        <v>4.2245185960759324E-2</v>
      </c>
      <c r="Q58" s="4">
        <f>ROUND($C58+MIN($D58:$E58)*(1-SUMIFS(PrefFlows!$C:$C,PrefFlows!$A:$A,INDEX($D$1:$E$1,MATCH(MIN($D58:$E58),$D58:$E58,0)),PrefFlows!$B:$B,$B58)),2)</f>
        <v>60.22</v>
      </c>
      <c r="R58" s="5">
        <f>ROUND(MAX($D58:$E58)+MIN($D58:$E58)*SUMIFS(PrefFlows!$C:$C,PrefFlows!$A:$A,INDEX($D$1:$E$1,MATCH(MIN($D58:$E58),$D58:$E58,0)),PrefFlows!$B:$B,$B58),2)</f>
        <v>22.84</v>
      </c>
      <c r="S58" s="5">
        <f t="shared" si="7"/>
        <v>0</v>
      </c>
      <c r="T58" s="5">
        <f t="shared" si="8"/>
        <v>9.3800000000000008</v>
      </c>
      <c r="U58" s="3">
        <f t="shared" si="9"/>
        <v>7.56</v>
      </c>
      <c r="V58" s="6">
        <f t="shared" si="10"/>
        <v>-37.380000000000003</v>
      </c>
      <c r="W58" s="4">
        <f>ROUND($S58*SUMIFS(PrefFlows!$C:$C,PrefFlows!$A:$A,$S$1,PrefFlows!$B:$B,$B58)+$T58*SUMIFS(PrefFlows!$C:$C,PrefFlows!$A:$A,$T$1,PrefFlows!$B:$B,$B58)+$U58*SUMIFS(PrefFlows!$C:$C,PrefFlows!$A:$A,$U$1,PrefFlows!$B:$B,$B58),2)</f>
        <v>5.63</v>
      </c>
      <c r="X58" s="3">
        <f>ROUND($S58*(1-SUMIFS(PrefFlows!$C:$C,PrefFlows!$A:$A,$S$1,PrefFlows!$B:$B,$B58))+$T58*(1-SUMIFS(PrefFlows!$C:$C,PrefFlows!$A:$A,$T$1,PrefFlows!$B:$B,$B58))+$U58*(1-SUMIFS(PrefFlows!$C:$C,PrefFlows!$A:$A,$U$1,PrefFlows!$B:$B,$B58)),2)</f>
        <v>11.31</v>
      </c>
      <c r="Y58" s="4">
        <f t="shared" si="11"/>
        <v>5.7</v>
      </c>
      <c r="Z58" s="3">
        <f t="shared" si="12"/>
        <v>11.24</v>
      </c>
      <c r="AA58" s="4">
        <f t="shared" si="13"/>
        <v>0.33229999999999998</v>
      </c>
      <c r="AB58" s="5">
        <f t="shared" si="14"/>
        <v>0.33650000000000002</v>
      </c>
      <c r="AC58" s="5">
        <f t="shared" si="15"/>
        <v>4.1999999999999997E-3</v>
      </c>
      <c r="AD58" s="3">
        <v>-9.4003393543537206E-2</v>
      </c>
      <c r="AE58" s="4">
        <f>ROUND(S58*(1-(Exhaust!$B$2+AD58)),2)</f>
        <v>0</v>
      </c>
      <c r="AF58" s="5">
        <f>ROUND(T58*(1-(Exhaust!$B$3+$AD58)),2)</f>
        <v>6.51</v>
      </c>
      <c r="AG58" s="3">
        <f>ROUND(U58*(1-(Exhaust!$B$4+$AD58)),2)</f>
        <v>4.49</v>
      </c>
      <c r="AH58" s="4">
        <f>ROUND($AE58*(SUMIFS(PrefFlows!$C:$C,PrefFlows!$A:$A,$S$1,PrefFlows!$B:$B,$B58)+$AC58)+$AF58*(SUMIFS(PrefFlows!$C:$C,PrefFlows!$A:$A,$T$1,PrefFlows!$B:$B,$B58)+$AC58)+$AG58*(SUMIFS(PrefFlows!$C:$C,PrefFlows!$A:$A,$U$1,PrefFlows!$B:$B,$B58)+$AC58),2)</f>
        <v>3.55</v>
      </c>
      <c r="AI58" s="3">
        <f>ROUND($AE58*(1-(SUMIFS(PrefFlows!$C:$C,PrefFlows!$A:$A,$S$1,PrefFlows!$B:$B,$B58)+$AC58))+$AF58*(1-(SUMIFS(PrefFlows!$C:$C,PrefFlows!$A:$A,$T$1,PrefFlows!$B:$B,$B58)+$AC58))+$AG58*(1-(SUMIFS(PrefFlows!$C:$C,PrefFlows!$A:$A,$U$1,PrefFlows!$B:$B,$B58)+$AC58)),2)</f>
        <v>7.45</v>
      </c>
      <c r="AJ58" s="4">
        <f t="shared" si="16"/>
        <v>26.39</v>
      </c>
      <c r="AK58" s="3">
        <f t="shared" si="17"/>
        <v>67.67</v>
      </c>
      <c r="AL58" s="4">
        <f t="shared" si="18"/>
        <v>28.06</v>
      </c>
      <c r="AM58" s="3">
        <f t="shared" si="18"/>
        <v>71.94</v>
      </c>
      <c r="AN58" s="1">
        <f t="shared" si="23"/>
        <v>-21.46</v>
      </c>
      <c r="AO58" s="1">
        <f t="shared" si="24"/>
        <v>-21.91</v>
      </c>
      <c r="AP58" s="3">
        <f t="shared" si="25"/>
        <v>-21.94</v>
      </c>
      <c r="AQ58" s="1" t="b">
        <f t="shared" si="19"/>
        <v>0</v>
      </c>
      <c r="AR58" s="1" t="b">
        <f t="shared" si="19"/>
        <v>0</v>
      </c>
      <c r="AS58" s="3" t="b">
        <f t="shared" si="20"/>
        <v>0</v>
      </c>
      <c r="AT58" s="1">
        <f t="shared" si="21"/>
        <v>-0.44999999999999929</v>
      </c>
      <c r="AU58" s="1">
        <f t="shared" si="21"/>
        <v>-0.48000000000000043</v>
      </c>
      <c r="AV58" s="3">
        <f t="shared" si="22"/>
        <v>3.0000000000001137E-2</v>
      </c>
      <c r="AW58" s="1">
        <f>ROUND(IF($B58="NSW",N58*Meta!$B$6,N58),1)</f>
        <v>3712</v>
      </c>
      <c r="AX58" s="3">
        <f t="shared" si="26"/>
        <v>80390.100000000006</v>
      </c>
    </row>
    <row r="59" spans="1:50" x14ac:dyDescent="0.55000000000000004">
      <c r="A59" s="2" t="s">
        <v>69</v>
      </c>
      <c r="B59" s="3" t="s">
        <v>12</v>
      </c>
      <c r="C59" s="4">
        <v>37.79</v>
      </c>
      <c r="D59" s="5">
        <v>50.39</v>
      </c>
      <c r="E59" s="5">
        <v>0</v>
      </c>
      <c r="F59" s="5">
        <v>0.51</v>
      </c>
      <c r="G59" s="5">
        <v>0</v>
      </c>
      <c r="H59" s="5">
        <v>7.55</v>
      </c>
      <c r="I59" s="5">
        <v>3.76</v>
      </c>
      <c r="J59" s="3">
        <f t="shared" si="4"/>
        <v>4.2699999999999996</v>
      </c>
      <c r="K59" s="4">
        <v>54.07</v>
      </c>
      <c r="L59" s="3">
        <v>45.93</v>
      </c>
      <c r="M59" s="4">
        <v>83933</v>
      </c>
      <c r="N59" s="5">
        <v>3536</v>
      </c>
      <c r="O59" s="3">
        <f t="shared" si="5"/>
        <v>80397</v>
      </c>
      <c r="P59" s="5">
        <f t="shared" si="6"/>
        <v>4.2128840861163072E-2</v>
      </c>
      <c r="Q59" s="4">
        <f>ROUND($C59+MIN($D59:$E59)*(1-SUMIFS(PrefFlows!$C:$C,PrefFlows!$A:$A,INDEX($D$1:$E$1,MATCH(MIN($D59:$E59),$D59:$E59,0)),PrefFlows!$B:$B,$B59)),2)</f>
        <v>37.79</v>
      </c>
      <c r="R59" s="5">
        <f>ROUND(MAX($D59:$E59)+MIN($D59:$E59)*SUMIFS(PrefFlows!$C:$C,PrefFlows!$A:$A,INDEX($D$1:$E$1,MATCH(MIN($D59:$E59),$D59:$E59,0)),PrefFlows!$B:$B,$B59),2)</f>
        <v>50.39</v>
      </c>
      <c r="S59" s="5">
        <f t="shared" si="7"/>
        <v>0</v>
      </c>
      <c r="T59" s="5">
        <f t="shared" si="8"/>
        <v>7.55</v>
      </c>
      <c r="U59" s="3">
        <f t="shared" si="9"/>
        <v>4.2699999999999996</v>
      </c>
      <c r="V59" s="6">
        <f t="shared" si="10"/>
        <v>12.6</v>
      </c>
      <c r="W59" s="4">
        <f>ROUND($S59*SUMIFS(PrefFlows!$C:$C,PrefFlows!$A:$A,$S$1,PrefFlows!$B:$B,$B59)+$T59*SUMIFS(PrefFlows!$C:$C,PrefFlows!$A:$A,$T$1,PrefFlows!$B:$B,$B59)+$U59*SUMIFS(PrefFlows!$C:$C,PrefFlows!$A:$A,$U$1,PrefFlows!$B:$B,$B59),2)</f>
        <v>3.71</v>
      </c>
      <c r="X59" s="3">
        <f>ROUND($S59*(1-SUMIFS(PrefFlows!$C:$C,PrefFlows!$A:$A,$S$1,PrefFlows!$B:$B,$B59))+$T59*(1-SUMIFS(PrefFlows!$C:$C,PrefFlows!$A:$A,$T$1,PrefFlows!$B:$B,$B59))+$U59*(1-SUMIFS(PrefFlows!$C:$C,PrefFlows!$A:$A,$U$1,PrefFlows!$B:$B,$B59)),2)</f>
        <v>8.11</v>
      </c>
      <c r="Y59" s="4">
        <f t="shared" si="11"/>
        <v>3.68</v>
      </c>
      <c r="Z59" s="3">
        <f t="shared" si="12"/>
        <v>8.14</v>
      </c>
      <c r="AA59" s="4">
        <f t="shared" si="13"/>
        <v>0.31390000000000001</v>
      </c>
      <c r="AB59" s="5">
        <f t="shared" si="14"/>
        <v>0.31130000000000002</v>
      </c>
      <c r="AC59" s="5">
        <f t="shared" si="15"/>
        <v>-2.5999999999999999E-3</v>
      </c>
      <c r="AD59" s="3">
        <v>3.44986443060833E-2</v>
      </c>
      <c r="AE59" s="4">
        <f>ROUND(S59*(1-(Exhaust!$B$2+AD59)),2)</f>
        <v>0</v>
      </c>
      <c r="AF59" s="5">
        <f>ROUND(T59*(1-(Exhaust!$B$3+$AD59)),2)</f>
        <v>4.2699999999999996</v>
      </c>
      <c r="AG59" s="3">
        <f>ROUND(U59*(1-(Exhaust!$B$4+$AD59)),2)</f>
        <v>1.99</v>
      </c>
      <c r="AH59" s="4">
        <f>ROUND($AE59*(SUMIFS(PrefFlows!$C:$C,PrefFlows!$A:$A,$S$1,PrefFlows!$B:$B,$B59)+$AC59)+$AF59*(SUMIFS(PrefFlows!$C:$C,PrefFlows!$A:$A,$T$1,PrefFlows!$B:$B,$B59)+$AC59)+$AG59*(SUMIFS(PrefFlows!$C:$C,PrefFlows!$A:$A,$U$1,PrefFlows!$B:$B,$B59)+$AC59),2)</f>
        <v>1.86</v>
      </c>
      <c r="AI59" s="3">
        <f>ROUND($AE59*(1-(SUMIFS(PrefFlows!$C:$C,PrefFlows!$A:$A,$S$1,PrefFlows!$B:$B,$B59)+$AC59))+$AF59*(1-(SUMIFS(PrefFlows!$C:$C,PrefFlows!$A:$A,$T$1,PrefFlows!$B:$B,$B59)+$AC59))+$AG59*(1-(SUMIFS(PrefFlows!$C:$C,PrefFlows!$A:$A,$U$1,PrefFlows!$B:$B,$B59)+$AC59)),2)</f>
        <v>4.4000000000000004</v>
      </c>
      <c r="AJ59" s="4">
        <f t="shared" si="16"/>
        <v>52.25</v>
      </c>
      <c r="AK59" s="3">
        <f t="shared" si="17"/>
        <v>42.19</v>
      </c>
      <c r="AL59" s="4">
        <f t="shared" si="18"/>
        <v>55.33</v>
      </c>
      <c r="AM59" s="3">
        <f t="shared" si="18"/>
        <v>44.67</v>
      </c>
      <c r="AN59" s="1">
        <f t="shared" si="23"/>
        <v>4.07</v>
      </c>
      <c r="AO59" s="1">
        <f t="shared" si="24"/>
        <v>5.45</v>
      </c>
      <c r="AP59" s="3">
        <f t="shared" si="25"/>
        <v>5.33</v>
      </c>
      <c r="AQ59" s="1" t="b">
        <f t="shared" si="19"/>
        <v>0</v>
      </c>
      <c r="AR59" s="1" t="b">
        <f t="shared" si="19"/>
        <v>0</v>
      </c>
      <c r="AS59" s="3" t="b">
        <f t="shared" si="20"/>
        <v>0</v>
      </c>
      <c r="AT59" s="1">
        <f t="shared" si="21"/>
        <v>1.38</v>
      </c>
      <c r="AU59" s="1">
        <f t="shared" si="21"/>
        <v>1.2599999999999998</v>
      </c>
      <c r="AV59" s="3">
        <f t="shared" si="22"/>
        <v>0.12000000000000011</v>
      </c>
      <c r="AW59" s="1">
        <f>ROUND(IF($B59="NSW",N59*Meta!$B$6,N59),1)</f>
        <v>2323.1999999999998</v>
      </c>
      <c r="AX59" s="3">
        <f t="shared" si="26"/>
        <v>77847.100000000006</v>
      </c>
    </row>
    <row r="60" spans="1:50" x14ac:dyDescent="0.55000000000000004">
      <c r="A60" s="2" t="s">
        <v>70</v>
      </c>
      <c r="B60" s="3" t="s">
        <v>9</v>
      </c>
      <c r="C60" s="4">
        <v>36.549999999999997</v>
      </c>
      <c r="D60" s="5">
        <v>0</v>
      </c>
      <c r="E60" s="5">
        <v>48.37</v>
      </c>
      <c r="F60" s="5">
        <v>4.3099999999999996</v>
      </c>
      <c r="G60" s="5">
        <v>0</v>
      </c>
      <c r="H60" s="5">
        <v>5.54</v>
      </c>
      <c r="I60" s="5">
        <v>5.23</v>
      </c>
      <c r="J60" s="3">
        <f t="shared" si="4"/>
        <v>9.5399999999999991</v>
      </c>
      <c r="K60" s="4">
        <v>55.91</v>
      </c>
      <c r="L60" s="3">
        <v>44.09</v>
      </c>
      <c r="M60" s="4">
        <v>90851</v>
      </c>
      <c r="N60" s="5">
        <v>2710</v>
      </c>
      <c r="O60" s="3">
        <f t="shared" si="5"/>
        <v>88141</v>
      </c>
      <c r="P60" s="5">
        <f t="shared" si="6"/>
        <v>2.9829060769831921E-2</v>
      </c>
      <c r="Q60" s="4">
        <f>ROUND($C60+MIN($D60:$E60)*(1-SUMIFS(PrefFlows!$C:$C,PrefFlows!$A:$A,INDEX($D$1:$E$1,MATCH(MIN($D60:$E60),$D60:$E60,0)),PrefFlows!$B:$B,$B60)),2)</f>
        <v>36.549999999999997</v>
      </c>
      <c r="R60" s="5">
        <f>ROUND(MAX($D60:$E60)+MIN($D60:$E60)*SUMIFS(PrefFlows!$C:$C,PrefFlows!$A:$A,INDEX($D$1:$E$1,MATCH(MIN($D60:$E60),$D60:$E60,0)),PrefFlows!$B:$B,$B60),2)</f>
        <v>48.37</v>
      </c>
      <c r="S60" s="5">
        <f t="shared" si="7"/>
        <v>0</v>
      </c>
      <c r="T60" s="5">
        <f t="shared" si="8"/>
        <v>5.54</v>
      </c>
      <c r="U60" s="3">
        <f t="shared" si="9"/>
        <v>9.5399999999999991</v>
      </c>
      <c r="V60" s="6">
        <f t="shared" si="10"/>
        <v>11.82</v>
      </c>
      <c r="W60" s="4">
        <f>ROUND($S60*SUMIFS(PrefFlows!$C:$C,PrefFlows!$A:$A,$S$1,PrefFlows!$B:$B,$B60)+$T60*SUMIFS(PrefFlows!$C:$C,PrefFlows!$A:$A,$T$1,PrefFlows!$B:$B,$B60)+$U60*SUMIFS(PrefFlows!$C:$C,PrefFlows!$A:$A,$U$1,PrefFlows!$B:$B,$B60),2)</f>
        <v>6.03</v>
      </c>
      <c r="X60" s="3">
        <f>ROUND($S60*(1-SUMIFS(PrefFlows!$C:$C,PrefFlows!$A:$A,$S$1,PrefFlows!$B:$B,$B60))+$T60*(1-SUMIFS(PrefFlows!$C:$C,PrefFlows!$A:$A,$T$1,PrefFlows!$B:$B,$B60))+$U60*(1-SUMIFS(PrefFlows!$C:$C,PrefFlows!$A:$A,$U$1,PrefFlows!$B:$B,$B60)),2)</f>
        <v>9.0500000000000007</v>
      </c>
      <c r="Y60" s="4">
        <f t="shared" si="11"/>
        <v>7.54</v>
      </c>
      <c r="Z60" s="3">
        <f t="shared" si="12"/>
        <v>7.54</v>
      </c>
      <c r="AA60" s="4">
        <f t="shared" si="13"/>
        <v>0.39989999999999998</v>
      </c>
      <c r="AB60" s="5">
        <f t="shared" si="14"/>
        <v>0.5</v>
      </c>
      <c r="AC60" s="5">
        <f t="shared" si="15"/>
        <v>0.10009999999999999</v>
      </c>
      <c r="AD60" s="3">
        <v>2.8383665839742899E-2</v>
      </c>
      <c r="AE60" s="4">
        <f>ROUND(S60*(1-(Exhaust!$B$2+AD60)),2)</f>
        <v>0</v>
      </c>
      <c r="AF60" s="5">
        <f>ROUND(T60*(1-(Exhaust!$B$3+$AD60)),2)</f>
        <v>3.17</v>
      </c>
      <c r="AG60" s="3">
        <f>ROUND(U60*(1-(Exhaust!$B$4+$AD60)),2)</f>
        <v>4.5</v>
      </c>
      <c r="AH60" s="4">
        <f>ROUND($AE60*(SUMIFS(PrefFlows!$C:$C,PrefFlows!$A:$A,$S$1,PrefFlows!$B:$B,$B60)+$AC60)+$AF60*(SUMIFS(PrefFlows!$C:$C,PrefFlows!$A:$A,$T$1,PrefFlows!$B:$B,$B60)+$AC60)+$AG60*(SUMIFS(PrefFlows!$C:$C,PrefFlows!$A:$A,$U$1,PrefFlows!$B:$B,$B60)+$AC60),2)</f>
        <v>3.71</v>
      </c>
      <c r="AI60" s="3">
        <f>ROUND($AE60*(1-(SUMIFS(PrefFlows!$C:$C,PrefFlows!$A:$A,$S$1,PrefFlows!$B:$B,$B60)+$AC60))+$AF60*(1-(SUMIFS(PrefFlows!$C:$C,PrefFlows!$A:$A,$T$1,PrefFlows!$B:$B,$B60)+$AC60))+$AG60*(1-(SUMIFS(PrefFlows!$C:$C,PrefFlows!$A:$A,$U$1,PrefFlows!$B:$B,$B60)+$AC60)),2)</f>
        <v>3.96</v>
      </c>
      <c r="AJ60" s="4">
        <f t="shared" si="16"/>
        <v>52.08</v>
      </c>
      <c r="AK60" s="3">
        <f t="shared" si="17"/>
        <v>40.51</v>
      </c>
      <c r="AL60" s="4">
        <f t="shared" si="18"/>
        <v>56.25</v>
      </c>
      <c r="AM60" s="3">
        <f t="shared" si="18"/>
        <v>43.75</v>
      </c>
      <c r="AN60" s="1">
        <f t="shared" si="23"/>
        <v>5.91</v>
      </c>
      <c r="AO60" s="1">
        <f t="shared" si="24"/>
        <v>6.37</v>
      </c>
      <c r="AP60" s="3">
        <f t="shared" si="25"/>
        <v>6.25</v>
      </c>
      <c r="AQ60" s="1" t="b">
        <f t="shared" si="19"/>
        <v>0</v>
      </c>
      <c r="AR60" s="1" t="b">
        <f t="shared" si="19"/>
        <v>0</v>
      </c>
      <c r="AS60" s="3" t="b">
        <f t="shared" si="20"/>
        <v>0</v>
      </c>
      <c r="AT60" s="1">
        <f t="shared" si="21"/>
        <v>0.45999999999999996</v>
      </c>
      <c r="AU60" s="1">
        <f t="shared" si="21"/>
        <v>0.33999999999999986</v>
      </c>
      <c r="AV60" s="3">
        <f t="shared" si="22"/>
        <v>0.12000000000000011</v>
      </c>
      <c r="AW60" s="1">
        <f>ROUND(IF($B60="NSW",N60*Meta!$B$6,N60),1)</f>
        <v>2710</v>
      </c>
      <c r="AX60" s="3">
        <f t="shared" si="26"/>
        <v>82495.8</v>
      </c>
    </row>
    <row r="61" spans="1:50" x14ac:dyDescent="0.55000000000000004">
      <c r="A61" s="2" t="s">
        <v>71</v>
      </c>
      <c r="B61" s="3" t="s">
        <v>9</v>
      </c>
      <c r="C61" s="4">
        <v>33.69</v>
      </c>
      <c r="D61" s="5">
        <v>52.92</v>
      </c>
      <c r="E61" s="5">
        <v>0</v>
      </c>
      <c r="F61" s="5">
        <v>1.1399999999999999</v>
      </c>
      <c r="G61" s="5">
        <v>0</v>
      </c>
      <c r="H61" s="5">
        <v>10.37</v>
      </c>
      <c r="I61" s="5">
        <v>1.88</v>
      </c>
      <c r="J61" s="3">
        <f t="shared" si="4"/>
        <v>3.02</v>
      </c>
      <c r="K61" s="4">
        <v>56.05</v>
      </c>
      <c r="L61" s="3">
        <v>43.95</v>
      </c>
      <c r="M61" s="4">
        <v>87411</v>
      </c>
      <c r="N61" s="5">
        <v>2112</v>
      </c>
      <c r="O61" s="3">
        <f t="shared" si="5"/>
        <v>85299</v>
      </c>
      <c r="P61" s="5">
        <f t="shared" si="6"/>
        <v>2.4161718776812988E-2</v>
      </c>
      <c r="Q61" s="4">
        <f>ROUND($C61+MIN($D61:$E61)*(1-SUMIFS(PrefFlows!$C:$C,PrefFlows!$A:$A,INDEX($D$1:$E$1,MATCH(MIN($D61:$E61),$D61:$E61,0)),PrefFlows!$B:$B,$B61)),2)</f>
        <v>33.69</v>
      </c>
      <c r="R61" s="5">
        <f>ROUND(MAX($D61:$E61)+MIN($D61:$E61)*SUMIFS(PrefFlows!$C:$C,PrefFlows!$A:$A,INDEX($D$1:$E$1,MATCH(MIN($D61:$E61),$D61:$E61,0)),PrefFlows!$B:$B,$B61),2)</f>
        <v>52.92</v>
      </c>
      <c r="S61" s="5">
        <f t="shared" si="7"/>
        <v>0</v>
      </c>
      <c r="T61" s="5">
        <f t="shared" si="8"/>
        <v>10.37</v>
      </c>
      <c r="U61" s="3">
        <f t="shared" si="9"/>
        <v>3.02</v>
      </c>
      <c r="V61" s="6">
        <f t="shared" si="10"/>
        <v>19.23</v>
      </c>
      <c r="W61" s="4">
        <f>ROUND($S61*SUMIFS(PrefFlows!$C:$C,PrefFlows!$A:$A,$S$1,PrefFlows!$B:$B,$B61)+$T61*SUMIFS(PrefFlows!$C:$C,PrefFlows!$A:$A,$T$1,PrefFlows!$B:$B,$B61)+$U61*SUMIFS(PrefFlows!$C:$C,PrefFlows!$A:$A,$U$1,PrefFlows!$B:$B,$B61),2)</f>
        <v>3.38</v>
      </c>
      <c r="X61" s="3">
        <f>ROUND($S61*(1-SUMIFS(PrefFlows!$C:$C,PrefFlows!$A:$A,$S$1,PrefFlows!$B:$B,$B61))+$T61*(1-SUMIFS(PrefFlows!$C:$C,PrefFlows!$A:$A,$T$1,PrefFlows!$B:$B,$B61))+$U61*(1-SUMIFS(PrefFlows!$C:$C,PrefFlows!$A:$A,$U$1,PrefFlows!$B:$B,$B61)),2)</f>
        <v>10.01</v>
      </c>
      <c r="Y61" s="4">
        <f t="shared" si="11"/>
        <v>3.13</v>
      </c>
      <c r="Z61" s="3">
        <f t="shared" si="12"/>
        <v>10.26</v>
      </c>
      <c r="AA61" s="4">
        <f t="shared" si="13"/>
        <v>0.25240000000000001</v>
      </c>
      <c r="AB61" s="5">
        <f t="shared" si="14"/>
        <v>0.23380000000000001</v>
      </c>
      <c r="AC61" s="5">
        <f t="shared" si="15"/>
        <v>-1.8599999999999998E-2</v>
      </c>
      <c r="AD61" s="3">
        <v>-8.47620942685232E-2</v>
      </c>
      <c r="AE61" s="4">
        <f>ROUND(S61*(1-(Exhaust!$B$2+AD61)),2)</f>
        <v>0</v>
      </c>
      <c r="AF61" s="5">
        <f>ROUND(T61*(1-(Exhaust!$B$3+$AD61)),2)</f>
        <v>7.1</v>
      </c>
      <c r="AG61" s="3">
        <f>ROUND(U61*(1-(Exhaust!$B$4+$AD61)),2)</f>
        <v>1.77</v>
      </c>
      <c r="AH61" s="4">
        <f>ROUND($AE61*(SUMIFS(PrefFlows!$C:$C,PrefFlows!$A:$A,$S$1,PrefFlows!$B:$B,$B61)+$AC61)+$AF61*(SUMIFS(PrefFlows!$C:$C,PrefFlows!$A:$A,$T$1,PrefFlows!$B:$B,$B61)+$AC61)+$AG61*(SUMIFS(PrefFlows!$C:$C,PrefFlows!$A:$A,$U$1,PrefFlows!$B:$B,$B61)+$AC61),2)</f>
        <v>1.99</v>
      </c>
      <c r="AI61" s="3">
        <f>ROUND($AE61*(1-(SUMIFS(PrefFlows!$C:$C,PrefFlows!$A:$A,$S$1,PrefFlows!$B:$B,$B61)+$AC61))+$AF61*(1-(SUMIFS(PrefFlows!$C:$C,PrefFlows!$A:$A,$T$1,PrefFlows!$B:$B,$B61)+$AC61))+$AG61*(1-(SUMIFS(PrefFlows!$C:$C,PrefFlows!$A:$A,$U$1,PrefFlows!$B:$B,$B61)+$AC61)),2)</f>
        <v>6.88</v>
      </c>
      <c r="AJ61" s="4">
        <f t="shared" si="16"/>
        <v>54.91</v>
      </c>
      <c r="AK61" s="3">
        <f t="shared" si="17"/>
        <v>40.57</v>
      </c>
      <c r="AL61" s="4">
        <f t="shared" si="18"/>
        <v>57.51</v>
      </c>
      <c r="AM61" s="3">
        <f t="shared" si="18"/>
        <v>42.49</v>
      </c>
      <c r="AN61" s="1">
        <f t="shared" si="23"/>
        <v>6.05</v>
      </c>
      <c r="AO61" s="1">
        <f t="shared" si="24"/>
        <v>8.2899999999999991</v>
      </c>
      <c r="AP61" s="3">
        <f t="shared" si="25"/>
        <v>7.51</v>
      </c>
      <c r="AQ61" s="1" t="b">
        <f t="shared" si="19"/>
        <v>0</v>
      </c>
      <c r="AR61" s="1" t="b">
        <f t="shared" si="19"/>
        <v>0</v>
      </c>
      <c r="AS61" s="3" t="b">
        <f t="shared" si="20"/>
        <v>0</v>
      </c>
      <c r="AT61" s="1">
        <f t="shared" si="21"/>
        <v>2.2399999999999993</v>
      </c>
      <c r="AU61" s="1">
        <f t="shared" si="21"/>
        <v>1.46</v>
      </c>
      <c r="AV61" s="3">
        <f t="shared" si="22"/>
        <v>0.77999999999999936</v>
      </c>
      <c r="AW61" s="1">
        <f>ROUND(IF($B61="NSW",N61*Meta!$B$6,N61),1)</f>
        <v>2112</v>
      </c>
      <c r="AX61" s="3">
        <f t="shared" si="26"/>
        <v>82155.600000000006</v>
      </c>
    </row>
    <row r="62" spans="1:50" x14ac:dyDescent="0.55000000000000004">
      <c r="A62" s="2" t="s">
        <v>72</v>
      </c>
      <c r="B62" s="3" t="s">
        <v>9</v>
      </c>
      <c r="C62" s="4">
        <v>61.93</v>
      </c>
      <c r="D62" s="5">
        <v>24.32</v>
      </c>
      <c r="E62" s="5">
        <v>0</v>
      </c>
      <c r="F62" s="5">
        <v>3.95</v>
      </c>
      <c r="G62" s="5">
        <v>0</v>
      </c>
      <c r="H62" s="5">
        <v>6.09</v>
      </c>
      <c r="I62" s="5">
        <v>3.71</v>
      </c>
      <c r="J62" s="3">
        <f t="shared" si="4"/>
        <v>7.66</v>
      </c>
      <c r="K62" s="4">
        <v>28.78</v>
      </c>
      <c r="L62" s="3">
        <v>71.22</v>
      </c>
      <c r="M62" s="4">
        <v>99237</v>
      </c>
      <c r="N62" s="5">
        <v>4405</v>
      </c>
      <c r="O62" s="3">
        <f t="shared" si="5"/>
        <v>94832</v>
      </c>
      <c r="P62" s="5">
        <f t="shared" si="6"/>
        <v>4.438868567167488E-2</v>
      </c>
      <c r="Q62" s="4">
        <f>ROUND($C62+MIN($D62:$E62)*(1-SUMIFS(PrefFlows!$C:$C,PrefFlows!$A:$A,INDEX($D$1:$E$1,MATCH(MIN($D62:$E62),$D62:$E62,0)),PrefFlows!$B:$B,$B62)),2)</f>
        <v>61.93</v>
      </c>
      <c r="R62" s="5">
        <f>ROUND(MAX($D62:$E62)+MIN($D62:$E62)*SUMIFS(PrefFlows!$C:$C,PrefFlows!$A:$A,INDEX($D$1:$E$1,MATCH(MIN($D62:$E62),$D62:$E62,0)),PrefFlows!$B:$B,$B62),2)</f>
        <v>24.32</v>
      </c>
      <c r="S62" s="5">
        <f t="shared" si="7"/>
        <v>0</v>
      </c>
      <c r="T62" s="5">
        <f t="shared" si="8"/>
        <v>6.09</v>
      </c>
      <c r="U62" s="3">
        <f t="shared" si="9"/>
        <v>7.66</v>
      </c>
      <c r="V62" s="6">
        <f t="shared" si="10"/>
        <v>-37.61</v>
      </c>
      <c r="W62" s="4">
        <f>ROUND($S62*SUMIFS(PrefFlows!$C:$C,PrefFlows!$A:$A,$S$1,PrefFlows!$B:$B,$B62)+$T62*SUMIFS(PrefFlows!$C:$C,PrefFlows!$A:$A,$T$1,PrefFlows!$B:$B,$B62)+$U62*SUMIFS(PrefFlows!$C:$C,PrefFlows!$A:$A,$U$1,PrefFlows!$B:$B,$B62),2)</f>
        <v>5.12</v>
      </c>
      <c r="X62" s="3">
        <f>ROUND($S62*(1-SUMIFS(PrefFlows!$C:$C,PrefFlows!$A:$A,$S$1,PrefFlows!$B:$B,$B62))+$T62*(1-SUMIFS(PrefFlows!$C:$C,PrefFlows!$A:$A,$T$1,PrefFlows!$B:$B,$B62))+$U62*(1-SUMIFS(PrefFlows!$C:$C,PrefFlows!$A:$A,$U$1,PrefFlows!$B:$B,$B62)),2)</f>
        <v>8.6300000000000008</v>
      </c>
      <c r="Y62" s="4">
        <f t="shared" si="11"/>
        <v>4.46</v>
      </c>
      <c r="Z62" s="3">
        <f t="shared" si="12"/>
        <v>9.2899999999999991</v>
      </c>
      <c r="AA62" s="4">
        <f t="shared" si="13"/>
        <v>0.37240000000000001</v>
      </c>
      <c r="AB62" s="5">
        <f t="shared" si="14"/>
        <v>0.32440000000000002</v>
      </c>
      <c r="AC62" s="5">
        <f t="shared" si="15"/>
        <v>-4.8000000000000001E-2</v>
      </c>
      <c r="AD62" s="3">
        <v>4.8818693465695798E-2</v>
      </c>
      <c r="AE62" s="4">
        <f>ROUND(S62*(1-(Exhaust!$B$2+AD62)),2)</f>
        <v>0</v>
      </c>
      <c r="AF62" s="5">
        <f>ROUND(T62*(1-(Exhaust!$B$3+$AD62)),2)</f>
        <v>3.36</v>
      </c>
      <c r="AG62" s="3">
        <f>ROUND(U62*(1-(Exhaust!$B$4+$AD62)),2)</f>
        <v>3.46</v>
      </c>
      <c r="AH62" s="4">
        <f>ROUND($AE62*(SUMIFS(PrefFlows!$C:$C,PrefFlows!$A:$A,$S$1,PrefFlows!$B:$B,$B62)+$AC62)+$AF62*(SUMIFS(PrefFlows!$C:$C,PrefFlows!$A:$A,$T$1,PrefFlows!$B:$B,$B62)+$AC62)+$AG62*(SUMIFS(PrefFlows!$C:$C,PrefFlows!$A:$A,$U$1,PrefFlows!$B:$B,$B62)+$AC62),2)</f>
        <v>2.09</v>
      </c>
      <c r="AI62" s="3">
        <f>ROUND($AE62*(1-(SUMIFS(PrefFlows!$C:$C,PrefFlows!$A:$A,$S$1,PrefFlows!$B:$B,$B62)+$AC62))+$AF62*(1-(SUMIFS(PrefFlows!$C:$C,PrefFlows!$A:$A,$T$1,PrefFlows!$B:$B,$B62)+$AC62))+$AG62*(1-(SUMIFS(PrefFlows!$C:$C,PrefFlows!$A:$A,$U$1,PrefFlows!$B:$B,$B62)+$AC62)),2)</f>
        <v>4.7300000000000004</v>
      </c>
      <c r="AJ62" s="4">
        <f t="shared" si="16"/>
        <v>26.41</v>
      </c>
      <c r="AK62" s="3">
        <f t="shared" si="17"/>
        <v>66.66</v>
      </c>
      <c r="AL62" s="4">
        <f t="shared" si="18"/>
        <v>28.38</v>
      </c>
      <c r="AM62" s="3">
        <f t="shared" si="18"/>
        <v>71.62</v>
      </c>
      <c r="AN62" s="1">
        <f t="shared" si="23"/>
        <v>-21.22</v>
      </c>
      <c r="AO62" s="1">
        <f t="shared" si="24"/>
        <v>-21.48</v>
      </c>
      <c r="AP62" s="3">
        <f t="shared" si="25"/>
        <v>-21.62</v>
      </c>
      <c r="AQ62" s="1" t="b">
        <f t="shared" si="19"/>
        <v>0</v>
      </c>
      <c r="AR62" s="1" t="b">
        <f t="shared" si="19"/>
        <v>0</v>
      </c>
      <c r="AS62" s="3" t="b">
        <f t="shared" si="20"/>
        <v>0</v>
      </c>
      <c r="AT62" s="1">
        <f t="shared" si="21"/>
        <v>-0.26000000000000156</v>
      </c>
      <c r="AU62" s="1">
        <f t="shared" si="21"/>
        <v>-0.40000000000000213</v>
      </c>
      <c r="AV62" s="3">
        <f t="shared" si="22"/>
        <v>0.14000000000000057</v>
      </c>
      <c r="AW62" s="1">
        <f>ROUND(IF($B62="NSW",N62*Meta!$B$6,N62),1)</f>
        <v>4405</v>
      </c>
      <c r="AX62" s="3">
        <f t="shared" si="26"/>
        <v>89707.9</v>
      </c>
    </row>
    <row r="63" spans="1:50" x14ac:dyDescent="0.55000000000000004">
      <c r="A63" s="2" t="s">
        <v>73</v>
      </c>
      <c r="B63" s="3" t="s">
        <v>12</v>
      </c>
      <c r="C63" s="4">
        <v>55.47</v>
      </c>
      <c r="D63" s="5">
        <v>20.86</v>
      </c>
      <c r="E63" s="5">
        <v>0</v>
      </c>
      <c r="F63" s="5">
        <v>0</v>
      </c>
      <c r="G63" s="5">
        <v>0</v>
      </c>
      <c r="H63" s="5">
        <v>18.7</v>
      </c>
      <c r="I63" s="5">
        <v>4.97</v>
      </c>
      <c r="J63" s="3">
        <f t="shared" si="4"/>
        <v>4.97</v>
      </c>
      <c r="K63" s="4">
        <v>25.07</v>
      </c>
      <c r="L63" s="3">
        <v>74.930000000000007</v>
      </c>
      <c r="M63" s="4">
        <v>89173</v>
      </c>
      <c r="N63" s="5">
        <v>5333</v>
      </c>
      <c r="O63" s="3">
        <f t="shared" si="5"/>
        <v>83840</v>
      </c>
      <c r="P63" s="5">
        <f t="shared" si="6"/>
        <v>5.9805097955659227E-2</v>
      </c>
      <c r="Q63" s="4">
        <f>ROUND($C63+MIN($D63:$E63)*(1-SUMIFS(PrefFlows!$C:$C,PrefFlows!$A:$A,INDEX($D$1:$E$1,MATCH(MIN($D63:$E63),$D63:$E63,0)),PrefFlows!$B:$B,$B63)),2)</f>
        <v>55.47</v>
      </c>
      <c r="R63" s="5">
        <f>ROUND(MAX($D63:$E63)+MIN($D63:$E63)*SUMIFS(PrefFlows!$C:$C,PrefFlows!$A:$A,INDEX($D$1:$E$1,MATCH(MIN($D63:$E63),$D63:$E63,0)),PrefFlows!$B:$B,$B63),2)</f>
        <v>20.86</v>
      </c>
      <c r="S63" s="5">
        <f t="shared" si="7"/>
        <v>0</v>
      </c>
      <c r="T63" s="5">
        <f t="shared" si="8"/>
        <v>18.7</v>
      </c>
      <c r="U63" s="3">
        <f t="shared" si="9"/>
        <v>4.97</v>
      </c>
      <c r="V63" s="6">
        <f t="shared" si="10"/>
        <v>-34.61</v>
      </c>
      <c r="W63" s="4">
        <f>ROUND($S63*SUMIFS(PrefFlows!$C:$C,PrefFlows!$A:$A,$S$1,PrefFlows!$B:$B,$B63)+$T63*SUMIFS(PrefFlows!$C:$C,PrefFlows!$A:$A,$T$1,PrefFlows!$B:$B,$B63)+$U63*SUMIFS(PrefFlows!$C:$C,PrefFlows!$A:$A,$U$1,PrefFlows!$B:$B,$B63),2)</f>
        <v>6.22</v>
      </c>
      <c r="X63" s="3">
        <f>ROUND($S63*(1-SUMIFS(PrefFlows!$C:$C,PrefFlows!$A:$A,$S$1,PrefFlows!$B:$B,$B63))+$T63*(1-SUMIFS(PrefFlows!$C:$C,PrefFlows!$A:$A,$T$1,PrefFlows!$B:$B,$B63))+$U63*(1-SUMIFS(PrefFlows!$C:$C,PrefFlows!$A:$A,$U$1,PrefFlows!$B:$B,$B63)),2)</f>
        <v>17.45</v>
      </c>
      <c r="Y63" s="4">
        <f t="shared" si="11"/>
        <v>4.21</v>
      </c>
      <c r="Z63" s="3">
        <f t="shared" si="12"/>
        <v>19.46</v>
      </c>
      <c r="AA63" s="4">
        <f t="shared" si="13"/>
        <v>0.26279999999999998</v>
      </c>
      <c r="AB63" s="5">
        <f t="shared" si="14"/>
        <v>0.1779</v>
      </c>
      <c r="AC63" s="5">
        <f t="shared" si="15"/>
        <v>-8.4900000000000003E-2</v>
      </c>
      <c r="AD63" s="3">
        <v>-4.6312863592027798E-2</v>
      </c>
      <c r="AE63" s="4">
        <f>ROUND(S63*(1-(Exhaust!$B$2+AD63)),2)</f>
        <v>0</v>
      </c>
      <c r="AF63" s="5">
        <f>ROUND(T63*(1-(Exhaust!$B$3+$AD63)),2)</f>
        <v>12.09</v>
      </c>
      <c r="AG63" s="3">
        <f>ROUND(U63*(1-(Exhaust!$B$4+$AD63)),2)</f>
        <v>2.72</v>
      </c>
      <c r="AH63" s="4">
        <f>ROUND($AE63*(SUMIFS(PrefFlows!$C:$C,PrefFlows!$A:$A,$S$1,PrefFlows!$B:$B,$B63)+$AC63)+$AF63*(SUMIFS(PrefFlows!$C:$C,PrefFlows!$A:$A,$T$1,PrefFlows!$B:$B,$B63)+$AC63)+$AG63*(SUMIFS(PrefFlows!$C:$C,PrefFlows!$A:$A,$U$1,PrefFlows!$B:$B,$B63)+$AC63),2)</f>
        <v>2.5</v>
      </c>
      <c r="AI63" s="3">
        <f>ROUND($AE63*(1-(SUMIFS(PrefFlows!$C:$C,PrefFlows!$A:$A,$S$1,PrefFlows!$B:$B,$B63)+$AC63))+$AF63*(1-(SUMIFS(PrefFlows!$C:$C,PrefFlows!$A:$A,$T$1,PrefFlows!$B:$B,$B63)+$AC63))+$AG63*(1-(SUMIFS(PrefFlows!$C:$C,PrefFlows!$A:$A,$U$1,PrefFlows!$B:$B,$B63)+$AC63)),2)</f>
        <v>12.31</v>
      </c>
      <c r="AJ63" s="4">
        <f t="shared" si="16"/>
        <v>23.36</v>
      </c>
      <c r="AK63" s="3">
        <f t="shared" si="17"/>
        <v>67.78</v>
      </c>
      <c r="AL63" s="4">
        <f t="shared" si="18"/>
        <v>25.63</v>
      </c>
      <c r="AM63" s="3">
        <f t="shared" si="18"/>
        <v>74.37</v>
      </c>
      <c r="AN63" s="1">
        <f t="shared" si="23"/>
        <v>-24.93</v>
      </c>
      <c r="AO63" s="1">
        <f t="shared" si="24"/>
        <v>-24</v>
      </c>
      <c r="AP63" s="3">
        <f t="shared" si="25"/>
        <v>-24.37</v>
      </c>
      <c r="AQ63" s="1" t="b">
        <f t="shared" si="19"/>
        <v>0</v>
      </c>
      <c r="AR63" s="1" t="b">
        <f t="shared" si="19"/>
        <v>0</v>
      </c>
      <c r="AS63" s="3" t="b">
        <f t="shared" si="20"/>
        <v>0</v>
      </c>
      <c r="AT63" s="1">
        <f t="shared" si="21"/>
        <v>0.92999999999999972</v>
      </c>
      <c r="AU63" s="1">
        <f t="shared" si="21"/>
        <v>0.55999999999999872</v>
      </c>
      <c r="AV63" s="3">
        <f t="shared" si="22"/>
        <v>0.37000000000000099</v>
      </c>
      <c r="AW63" s="1">
        <f>ROUND(IF($B63="NSW",N63*Meta!$B$6,N63),1)</f>
        <v>3503.8</v>
      </c>
      <c r="AX63" s="3">
        <f t="shared" si="26"/>
        <v>79206.600000000006</v>
      </c>
    </row>
    <row r="64" spans="1:50" x14ac:dyDescent="0.55000000000000004">
      <c r="A64" s="2" t="s">
        <v>74</v>
      </c>
      <c r="B64" s="3" t="s">
        <v>12</v>
      </c>
      <c r="C64" s="4">
        <v>38.47</v>
      </c>
      <c r="D64" s="5">
        <v>50.1</v>
      </c>
      <c r="E64" s="5">
        <v>0</v>
      </c>
      <c r="F64" s="5">
        <v>1.63</v>
      </c>
      <c r="G64" s="5">
        <v>0</v>
      </c>
      <c r="H64" s="5">
        <v>5.73</v>
      </c>
      <c r="I64" s="5">
        <v>4.07</v>
      </c>
      <c r="J64" s="3">
        <f t="shared" si="4"/>
        <v>5.7</v>
      </c>
      <c r="K64" s="4">
        <v>54.5</v>
      </c>
      <c r="L64" s="3">
        <v>45.5</v>
      </c>
      <c r="M64" s="4">
        <v>84430</v>
      </c>
      <c r="N64" s="5">
        <v>3908</v>
      </c>
      <c r="O64" s="3">
        <f t="shared" si="5"/>
        <v>80522</v>
      </c>
      <c r="P64" s="5">
        <f t="shared" si="6"/>
        <v>4.6286864858462631E-2</v>
      </c>
      <c r="Q64" s="4">
        <f>ROUND($C64+MIN($D64:$E64)*(1-SUMIFS(PrefFlows!$C:$C,PrefFlows!$A:$A,INDEX($D$1:$E$1,MATCH(MIN($D64:$E64),$D64:$E64,0)),PrefFlows!$B:$B,$B64)),2)</f>
        <v>38.47</v>
      </c>
      <c r="R64" s="5">
        <f>ROUND(MAX($D64:$E64)+MIN($D64:$E64)*SUMIFS(PrefFlows!$C:$C,PrefFlows!$A:$A,INDEX($D$1:$E$1,MATCH(MIN($D64:$E64),$D64:$E64,0)),PrefFlows!$B:$B,$B64),2)</f>
        <v>50.1</v>
      </c>
      <c r="S64" s="5">
        <f t="shared" si="7"/>
        <v>0</v>
      </c>
      <c r="T64" s="5">
        <f t="shared" si="8"/>
        <v>5.73</v>
      </c>
      <c r="U64" s="3">
        <f t="shared" si="9"/>
        <v>5.7</v>
      </c>
      <c r="V64" s="6">
        <f t="shared" si="10"/>
        <v>11.63</v>
      </c>
      <c r="W64" s="4">
        <f>ROUND($S64*SUMIFS(PrefFlows!$C:$C,PrefFlows!$A:$A,$S$1,PrefFlows!$B:$B,$B64)+$T64*SUMIFS(PrefFlows!$C:$C,PrefFlows!$A:$A,$T$1,PrefFlows!$B:$B,$B64)+$U64*SUMIFS(PrefFlows!$C:$C,PrefFlows!$A:$A,$U$1,PrefFlows!$B:$B,$B64),2)</f>
        <v>4.1100000000000003</v>
      </c>
      <c r="X64" s="3">
        <f>ROUND($S64*(1-SUMIFS(PrefFlows!$C:$C,PrefFlows!$A:$A,$S$1,PrefFlows!$B:$B,$B64))+$T64*(1-SUMIFS(PrefFlows!$C:$C,PrefFlows!$A:$A,$T$1,PrefFlows!$B:$B,$B64))+$U64*(1-SUMIFS(PrefFlows!$C:$C,PrefFlows!$A:$A,$U$1,PrefFlows!$B:$B,$B64)),2)</f>
        <v>7.32</v>
      </c>
      <c r="Y64" s="4">
        <f t="shared" si="11"/>
        <v>4.4000000000000004</v>
      </c>
      <c r="Z64" s="3">
        <f t="shared" si="12"/>
        <v>7.03</v>
      </c>
      <c r="AA64" s="4">
        <f t="shared" si="13"/>
        <v>0.35959999999999998</v>
      </c>
      <c r="AB64" s="5">
        <f t="shared" si="14"/>
        <v>0.38500000000000001</v>
      </c>
      <c r="AC64" s="5">
        <f t="shared" si="15"/>
        <v>2.5399999999999999E-2</v>
      </c>
      <c r="AD64" s="3">
        <v>6.8254030886873499E-2</v>
      </c>
      <c r="AE64" s="4">
        <f>ROUND(S64*(1-(Exhaust!$B$2+AD64)),2)</f>
        <v>0</v>
      </c>
      <c r="AF64" s="5">
        <f>ROUND(T64*(1-(Exhaust!$B$3+$AD64)),2)</f>
        <v>3.05</v>
      </c>
      <c r="AG64" s="3">
        <f>ROUND(U64*(1-(Exhaust!$B$4+$AD64)),2)</f>
        <v>2.46</v>
      </c>
      <c r="AH64" s="4">
        <f>ROUND($AE64*(SUMIFS(PrefFlows!$C:$C,PrefFlows!$A:$A,$S$1,PrefFlows!$B:$B,$B64)+$AC64)+$AF64*(SUMIFS(PrefFlows!$C:$C,PrefFlows!$A:$A,$T$1,PrefFlows!$B:$B,$B64)+$AC64)+$AG64*(SUMIFS(PrefFlows!$C:$C,PrefFlows!$A:$A,$U$1,PrefFlows!$B:$B,$B64)+$AC64),2)</f>
        <v>2.0299999999999998</v>
      </c>
      <c r="AI64" s="3">
        <f>ROUND($AE64*(1-(SUMIFS(PrefFlows!$C:$C,PrefFlows!$A:$A,$S$1,PrefFlows!$B:$B,$B64)+$AC64))+$AF64*(1-(SUMIFS(PrefFlows!$C:$C,PrefFlows!$A:$A,$T$1,PrefFlows!$B:$B,$B64)+$AC64))+$AG64*(1-(SUMIFS(PrefFlows!$C:$C,PrefFlows!$A:$A,$U$1,PrefFlows!$B:$B,$B64)+$AC64)),2)</f>
        <v>3.48</v>
      </c>
      <c r="AJ64" s="4">
        <f t="shared" si="16"/>
        <v>52.13</v>
      </c>
      <c r="AK64" s="3">
        <f t="shared" si="17"/>
        <v>41.95</v>
      </c>
      <c r="AL64" s="4">
        <f t="shared" si="18"/>
        <v>55.41</v>
      </c>
      <c r="AM64" s="3">
        <f t="shared" si="18"/>
        <v>44.59</v>
      </c>
      <c r="AN64" s="1">
        <f t="shared" si="23"/>
        <v>4.5</v>
      </c>
      <c r="AO64" s="1">
        <f t="shared" si="24"/>
        <v>5.43</v>
      </c>
      <c r="AP64" s="3">
        <f t="shared" si="25"/>
        <v>5.41</v>
      </c>
      <c r="AQ64" s="1" t="b">
        <f t="shared" si="19"/>
        <v>0</v>
      </c>
      <c r="AR64" s="1" t="b">
        <f t="shared" si="19"/>
        <v>0</v>
      </c>
      <c r="AS64" s="3" t="b">
        <f t="shared" si="20"/>
        <v>0</v>
      </c>
      <c r="AT64" s="1">
        <f t="shared" si="21"/>
        <v>0.92999999999999972</v>
      </c>
      <c r="AU64" s="1">
        <f t="shared" si="21"/>
        <v>0.91000000000000014</v>
      </c>
      <c r="AV64" s="3">
        <f t="shared" si="22"/>
        <v>1.9999999999999574E-2</v>
      </c>
      <c r="AW64" s="1">
        <f>ROUND(IF($B64="NSW",N64*Meta!$B$6,N64),1)</f>
        <v>2567.6</v>
      </c>
      <c r="AX64" s="3">
        <f t="shared" si="26"/>
        <v>77869.2</v>
      </c>
    </row>
    <row r="65" spans="1:50" x14ac:dyDescent="0.55000000000000004">
      <c r="A65" s="2" t="s">
        <v>75</v>
      </c>
      <c r="B65" s="3" t="s">
        <v>7</v>
      </c>
      <c r="C65" s="4">
        <v>38.659999999999997</v>
      </c>
      <c r="D65" s="5">
        <v>47.26</v>
      </c>
      <c r="E65" s="5">
        <v>3.06</v>
      </c>
      <c r="F65" s="5">
        <v>4.5</v>
      </c>
      <c r="G65" s="5">
        <v>0</v>
      </c>
      <c r="H65" s="5">
        <v>4.12</v>
      </c>
      <c r="I65" s="5">
        <v>2.4</v>
      </c>
      <c r="J65" s="3">
        <f t="shared" si="4"/>
        <v>6.9</v>
      </c>
      <c r="K65" s="4">
        <v>54.43</v>
      </c>
      <c r="L65" s="3">
        <v>45.57</v>
      </c>
      <c r="M65" s="4">
        <v>93106</v>
      </c>
      <c r="N65" s="5">
        <v>3961</v>
      </c>
      <c r="O65" s="3">
        <f t="shared" si="5"/>
        <v>89145</v>
      </c>
      <c r="P65" s="5">
        <f t="shared" si="6"/>
        <v>4.2542908083259938E-2</v>
      </c>
      <c r="Q65" s="4">
        <f>ROUND($C65+MIN($D65:$E65)*(1-SUMIFS(PrefFlows!$C:$C,PrefFlows!$A:$A,INDEX($D$1:$E$1,MATCH(MIN($D65:$E65),$D65:$E65,0)),PrefFlows!$B:$B,$B65)),2)</f>
        <v>39.54</v>
      </c>
      <c r="R65" s="5">
        <f>ROUND(MAX($D65:$E65)+MIN($D65:$E65)*SUMIFS(PrefFlows!$C:$C,PrefFlows!$A:$A,INDEX($D$1:$E$1,MATCH(MIN($D65:$E65),$D65:$E65,0)),PrefFlows!$B:$B,$B65),2)</f>
        <v>49.44</v>
      </c>
      <c r="S65" s="5">
        <f t="shared" si="7"/>
        <v>0</v>
      </c>
      <c r="T65" s="5">
        <f t="shared" si="8"/>
        <v>4.12</v>
      </c>
      <c r="U65" s="3">
        <f t="shared" si="9"/>
        <v>6.9</v>
      </c>
      <c r="V65" s="6">
        <f t="shared" si="10"/>
        <v>9.9</v>
      </c>
      <c r="W65" s="4">
        <f>ROUND($S65*SUMIFS(PrefFlows!$C:$C,PrefFlows!$A:$A,$S$1,PrefFlows!$B:$B,$B65)+$T65*SUMIFS(PrefFlows!$C:$C,PrefFlows!$A:$A,$T$1,PrefFlows!$B:$B,$B65)+$U65*SUMIFS(PrefFlows!$C:$C,PrefFlows!$A:$A,$U$1,PrefFlows!$B:$B,$B65),2)</f>
        <v>4.5199999999999996</v>
      </c>
      <c r="X65" s="3">
        <f>ROUND($S65*(1-SUMIFS(PrefFlows!$C:$C,PrefFlows!$A:$A,$S$1,PrefFlows!$B:$B,$B65))+$T65*(1-SUMIFS(PrefFlows!$C:$C,PrefFlows!$A:$A,$T$1,PrefFlows!$B:$B,$B65))+$U65*(1-SUMIFS(PrefFlows!$C:$C,PrefFlows!$A:$A,$U$1,PrefFlows!$B:$B,$B65)),2)</f>
        <v>6.5</v>
      </c>
      <c r="Y65" s="4">
        <f t="shared" si="11"/>
        <v>4.99</v>
      </c>
      <c r="Z65" s="3">
        <f t="shared" si="12"/>
        <v>6.03</v>
      </c>
      <c r="AA65" s="4">
        <f t="shared" si="13"/>
        <v>0.41020000000000001</v>
      </c>
      <c r="AB65" s="5">
        <f t="shared" si="14"/>
        <v>0.45279999999999998</v>
      </c>
      <c r="AC65" s="5">
        <f t="shared" si="15"/>
        <v>4.2599999999999999E-2</v>
      </c>
      <c r="AD65" s="3">
        <v>3.8217883683449499E-2</v>
      </c>
      <c r="AE65" s="4">
        <f>ROUND(S65*(1-(Exhaust!$B$2+AD65)),2)</f>
        <v>0</v>
      </c>
      <c r="AF65" s="5">
        <f>ROUND(T65*(1-(Exhaust!$B$3+$AD65)),2)</f>
        <v>2.31</v>
      </c>
      <c r="AG65" s="3">
        <f>ROUND(U65*(1-(Exhaust!$B$4+$AD65)),2)</f>
        <v>3.19</v>
      </c>
      <c r="AH65" s="4">
        <f>ROUND($AE65*(SUMIFS(PrefFlows!$C:$C,PrefFlows!$A:$A,$S$1,PrefFlows!$B:$B,$B65)+$AC65)+$AF65*(SUMIFS(PrefFlows!$C:$C,PrefFlows!$A:$A,$T$1,PrefFlows!$B:$B,$B65)+$AC65)+$AG65*(SUMIFS(PrefFlows!$C:$C,PrefFlows!$A:$A,$U$1,PrefFlows!$B:$B,$B65)+$AC65),2)</f>
        <v>2.41</v>
      </c>
      <c r="AI65" s="3">
        <f>ROUND($AE65*(1-(SUMIFS(PrefFlows!$C:$C,PrefFlows!$A:$A,$S$1,PrefFlows!$B:$B,$B65)+$AC65))+$AF65*(1-(SUMIFS(PrefFlows!$C:$C,PrefFlows!$A:$A,$T$1,PrefFlows!$B:$B,$B65)+$AC65))+$AG65*(1-(SUMIFS(PrefFlows!$C:$C,PrefFlows!$A:$A,$U$1,PrefFlows!$B:$B,$B65)+$AC65)),2)</f>
        <v>3.09</v>
      </c>
      <c r="AJ65" s="4">
        <f t="shared" si="16"/>
        <v>51.85</v>
      </c>
      <c r="AK65" s="3">
        <f t="shared" si="17"/>
        <v>42.63</v>
      </c>
      <c r="AL65" s="4">
        <f t="shared" si="18"/>
        <v>54.88</v>
      </c>
      <c r="AM65" s="3">
        <f t="shared" si="18"/>
        <v>45.12</v>
      </c>
      <c r="AN65" s="1">
        <f t="shared" si="23"/>
        <v>4.43</v>
      </c>
      <c r="AO65" s="1">
        <f t="shared" si="24"/>
        <v>4.9400000000000004</v>
      </c>
      <c r="AP65" s="3">
        <f t="shared" si="25"/>
        <v>4.88</v>
      </c>
      <c r="AQ65" s="1" t="b">
        <f t="shared" si="19"/>
        <v>0</v>
      </c>
      <c r="AR65" s="1" t="b">
        <f t="shared" si="19"/>
        <v>0</v>
      </c>
      <c r="AS65" s="3" t="b">
        <f t="shared" si="20"/>
        <v>0</v>
      </c>
      <c r="AT65" s="1">
        <f t="shared" si="21"/>
        <v>0.51000000000000068</v>
      </c>
      <c r="AU65" s="1">
        <f t="shared" si="21"/>
        <v>0.45000000000000018</v>
      </c>
      <c r="AV65" s="3">
        <f t="shared" si="22"/>
        <v>6.0000000000000497E-2</v>
      </c>
      <c r="AW65" s="1">
        <f>ROUND(IF($B65="NSW",N65*Meta!$B$6,N65),1)</f>
        <v>3961</v>
      </c>
      <c r="AX65" s="3">
        <f t="shared" si="26"/>
        <v>85545.7</v>
      </c>
    </row>
    <row r="66" spans="1:50" x14ac:dyDescent="0.55000000000000004">
      <c r="A66" s="2" t="s">
        <v>76</v>
      </c>
      <c r="B66" s="3" t="s">
        <v>22</v>
      </c>
      <c r="C66" s="4">
        <v>53.09</v>
      </c>
      <c r="D66" s="5">
        <v>33.979999999999997</v>
      </c>
      <c r="E66" s="5">
        <v>0</v>
      </c>
      <c r="F66" s="5">
        <v>0.79</v>
      </c>
      <c r="G66" s="5">
        <v>0</v>
      </c>
      <c r="H66" s="5">
        <v>7.85</v>
      </c>
      <c r="I66" s="5">
        <v>4.29</v>
      </c>
      <c r="J66" s="3">
        <f t="shared" si="4"/>
        <v>5.08</v>
      </c>
      <c r="K66" s="4">
        <v>37.68</v>
      </c>
      <c r="L66" s="3">
        <v>62.32</v>
      </c>
      <c r="M66" s="4">
        <v>85255</v>
      </c>
      <c r="N66" s="5">
        <v>2457</v>
      </c>
      <c r="O66" s="3">
        <f t="shared" si="5"/>
        <v>82798</v>
      </c>
      <c r="P66" s="5">
        <f t="shared" si="6"/>
        <v>2.8819424080699079E-2</v>
      </c>
      <c r="Q66" s="4">
        <f>ROUND($C66+MIN($D66:$E66)*(1-SUMIFS(PrefFlows!$C:$C,PrefFlows!$A:$A,INDEX($D$1:$E$1,MATCH(MIN($D66:$E66),$D66:$E66,0)),PrefFlows!$B:$B,$B66)),2)</f>
        <v>53.09</v>
      </c>
      <c r="R66" s="5">
        <f>ROUND(MAX($D66:$E66)+MIN($D66:$E66)*SUMIFS(PrefFlows!$C:$C,PrefFlows!$A:$A,INDEX($D$1:$E$1,MATCH(MIN($D66:$E66),$D66:$E66,0)),PrefFlows!$B:$B,$B66),2)</f>
        <v>33.979999999999997</v>
      </c>
      <c r="S66" s="5">
        <f t="shared" si="7"/>
        <v>0</v>
      </c>
      <c r="T66" s="5">
        <f t="shared" si="8"/>
        <v>7.85</v>
      </c>
      <c r="U66" s="3">
        <f t="shared" si="9"/>
        <v>5.08</v>
      </c>
      <c r="V66" s="6">
        <f t="shared" si="10"/>
        <v>-19.11</v>
      </c>
      <c r="W66" s="4">
        <f>ROUND($S66*SUMIFS(PrefFlows!$C:$C,PrefFlows!$A:$A,$S$1,PrefFlows!$B:$B,$B66)+$T66*SUMIFS(PrefFlows!$C:$C,PrefFlows!$A:$A,$T$1,PrefFlows!$B:$B,$B66)+$U66*SUMIFS(PrefFlows!$C:$C,PrefFlows!$A:$A,$U$1,PrefFlows!$B:$B,$B66),2)</f>
        <v>4.5199999999999996</v>
      </c>
      <c r="X66" s="3">
        <f>ROUND($S66*(1-SUMIFS(PrefFlows!$C:$C,PrefFlows!$A:$A,$S$1,PrefFlows!$B:$B,$B66))+$T66*(1-SUMIFS(PrefFlows!$C:$C,PrefFlows!$A:$A,$T$1,PrefFlows!$B:$B,$B66))+$U66*(1-SUMIFS(PrefFlows!$C:$C,PrefFlows!$A:$A,$U$1,PrefFlows!$B:$B,$B66)),2)</f>
        <v>8.41</v>
      </c>
      <c r="Y66" s="4">
        <f t="shared" si="11"/>
        <v>3.7</v>
      </c>
      <c r="Z66" s="3">
        <f t="shared" si="12"/>
        <v>9.23</v>
      </c>
      <c r="AA66" s="4">
        <f t="shared" si="13"/>
        <v>0.34960000000000002</v>
      </c>
      <c r="AB66" s="5">
        <f t="shared" si="14"/>
        <v>0.28620000000000001</v>
      </c>
      <c r="AC66" s="5">
        <f t="shared" si="15"/>
        <v>-6.3399999999999998E-2</v>
      </c>
      <c r="AD66" s="3">
        <v>-2.7138817638045602E-2</v>
      </c>
      <c r="AE66" s="4">
        <f>ROUND(S66*(1-(Exhaust!$B$2+AD66)),2)</f>
        <v>0</v>
      </c>
      <c r="AF66" s="5">
        <f>ROUND(T66*(1-(Exhaust!$B$3+$AD66)),2)</f>
        <v>4.92</v>
      </c>
      <c r="AG66" s="3">
        <f>ROUND(U66*(1-(Exhaust!$B$4+$AD66)),2)</f>
        <v>2.68</v>
      </c>
      <c r="AH66" s="4">
        <f>ROUND($AE66*(SUMIFS(PrefFlows!$C:$C,PrefFlows!$A:$A,$S$1,PrefFlows!$B:$B,$B66)+$AC66)+$AF66*(SUMIFS(PrefFlows!$C:$C,PrefFlows!$A:$A,$T$1,PrefFlows!$B:$B,$B66)+$AC66)+$AG66*(SUMIFS(PrefFlows!$C:$C,PrefFlows!$A:$A,$U$1,PrefFlows!$B:$B,$B66)+$AC66),2)</f>
        <v>2.1</v>
      </c>
      <c r="AI66" s="3">
        <f>ROUND($AE66*(1-(SUMIFS(PrefFlows!$C:$C,PrefFlows!$A:$A,$S$1,PrefFlows!$B:$B,$B66)+$AC66))+$AF66*(1-(SUMIFS(PrefFlows!$C:$C,PrefFlows!$A:$A,$T$1,PrefFlows!$B:$B,$B66)+$AC66))+$AG66*(1-(SUMIFS(PrefFlows!$C:$C,PrefFlows!$A:$A,$U$1,PrefFlows!$B:$B,$B66)+$AC66)),2)</f>
        <v>5.5</v>
      </c>
      <c r="AJ66" s="4">
        <f t="shared" si="16"/>
        <v>36.08</v>
      </c>
      <c r="AK66" s="3">
        <f t="shared" si="17"/>
        <v>58.59</v>
      </c>
      <c r="AL66" s="4">
        <f t="shared" si="18"/>
        <v>38.11</v>
      </c>
      <c r="AM66" s="3">
        <f t="shared" si="18"/>
        <v>61.89</v>
      </c>
      <c r="AN66" s="1">
        <f t="shared" ref="AN66:AN97" si="27">ROUND(K66-50,2)</f>
        <v>-12.32</v>
      </c>
      <c r="AO66" s="1">
        <f t="shared" ref="AO66:AO97" si="28">ROUND((R66+Y66*0.52)/((R66+Y66*0.52)+(Q66+Z66*0.52))*100-50,2)</f>
        <v>-11.72</v>
      </c>
      <c r="AP66" s="3">
        <f t="shared" ref="AP66:AP97" si="29">ROUND(AL66-50,2)</f>
        <v>-11.89</v>
      </c>
      <c r="AQ66" s="1" t="b">
        <f t="shared" si="19"/>
        <v>0</v>
      </c>
      <c r="AR66" s="1" t="b">
        <f t="shared" si="19"/>
        <v>0</v>
      </c>
      <c r="AS66" s="3" t="b">
        <f t="shared" si="20"/>
        <v>0</v>
      </c>
      <c r="AT66" s="1">
        <f t="shared" si="21"/>
        <v>0.59999999999999964</v>
      </c>
      <c r="AU66" s="1">
        <f t="shared" si="21"/>
        <v>0.42999999999999972</v>
      </c>
      <c r="AV66" s="3">
        <f t="shared" si="22"/>
        <v>0.16999999999999993</v>
      </c>
      <c r="AW66" s="1">
        <f>ROUND(IF($B66="NSW",N66*Meta!$B$6,N66),1)</f>
        <v>2457</v>
      </c>
      <c r="AX66" s="3">
        <f t="shared" ref="AX66:AX97" si="30">ROUND((M66-AW66*($AW$153/$AW$152))*SUM($AJ66:$AK66)/100,1)</f>
        <v>79206.3</v>
      </c>
    </row>
    <row r="67" spans="1:50" x14ac:dyDescent="0.55000000000000004">
      <c r="A67" s="2" t="s">
        <v>77</v>
      </c>
      <c r="B67" s="3" t="s">
        <v>22</v>
      </c>
      <c r="C67" s="4">
        <v>34.83</v>
      </c>
      <c r="D67" s="5">
        <v>52.71</v>
      </c>
      <c r="E67" s="5">
        <v>0</v>
      </c>
      <c r="F67" s="5">
        <v>4.38</v>
      </c>
      <c r="G67" s="5">
        <v>0</v>
      </c>
      <c r="H67" s="5">
        <v>4.84</v>
      </c>
      <c r="I67" s="5">
        <v>3.24</v>
      </c>
      <c r="J67" s="3">
        <f t="shared" ref="J67:J130" si="31">ROUND(F67+I67-G67,2)</f>
        <v>7.62</v>
      </c>
      <c r="K67" s="4">
        <v>58.22</v>
      </c>
      <c r="L67" s="3">
        <v>41.78</v>
      </c>
      <c r="M67" s="4">
        <v>85877</v>
      </c>
      <c r="N67" s="5">
        <v>2627</v>
      </c>
      <c r="O67" s="3">
        <f t="shared" ref="O67:O130" si="32">ROUND(M67-N67,0)</f>
        <v>83250</v>
      </c>
      <c r="P67" s="5">
        <f t="shared" ref="P67:P130" si="33">N67/M67</f>
        <v>3.0590262817750971E-2</v>
      </c>
      <c r="Q67" s="4">
        <f>ROUND($C67+MIN($D67:$E67)*(1-SUMIFS(PrefFlows!$C:$C,PrefFlows!$A:$A,INDEX($D$1:$E$1,MATCH(MIN($D67:$E67),$D67:$E67,0)),PrefFlows!$B:$B,$B67)),2)</f>
        <v>34.83</v>
      </c>
      <c r="R67" s="5">
        <f>ROUND(MAX($D67:$E67)+MIN($D67:$E67)*SUMIFS(PrefFlows!$C:$C,PrefFlows!$A:$A,INDEX($D$1:$E$1,MATCH(MIN($D67:$E67),$D67:$E67,0)),PrefFlows!$B:$B,$B67),2)</f>
        <v>52.71</v>
      </c>
      <c r="S67" s="5">
        <f t="shared" ref="S67:S130" si="34">ROUND(G67,2)</f>
        <v>0</v>
      </c>
      <c r="T67" s="5">
        <f t="shared" ref="T67:T130" si="35">ROUND(H67,2)</f>
        <v>4.84</v>
      </c>
      <c r="U67" s="3">
        <f t="shared" ref="U67:U130" si="36">ROUND(J67,2)</f>
        <v>7.62</v>
      </c>
      <c r="V67" s="6">
        <f t="shared" ref="V67:V130" si="37">ROUND(R67-Q67,2)</f>
        <v>17.88</v>
      </c>
      <c r="W67" s="4">
        <f>ROUND($S67*SUMIFS(PrefFlows!$C:$C,PrefFlows!$A:$A,$S$1,PrefFlows!$B:$B,$B67)+$T67*SUMIFS(PrefFlows!$C:$C,PrefFlows!$A:$A,$T$1,PrefFlows!$B:$B,$B67)+$U67*SUMIFS(PrefFlows!$C:$C,PrefFlows!$A:$A,$U$1,PrefFlows!$B:$B,$B67),2)</f>
        <v>5.07</v>
      </c>
      <c r="X67" s="3">
        <f>ROUND($S67*(1-SUMIFS(PrefFlows!$C:$C,PrefFlows!$A:$A,$S$1,PrefFlows!$B:$B,$B67))+$T67*(1-SUMIFS(PrefFlows!$C:$C,PrefFlows!$A:$A,$T$1,PrefFlows!$B:$B,$B67))+$U67*(1-SUMIFS(PrefFlows!$C:$C,PrefFlows!$A:$A,$U$1,PrefFlows!$B:$B,$B67)),2)</f>
        <v>7.39</v>
      </c>
      <c r="Y67" s="4">
        <f t="shared" ref="Y67:Y130" si="38">ROUND(K67-R67,2)</f>
        <v>5.51</v>
      </c>
      <c r="Z67" s="3">
        <f t="shared" ref="Z67:Z130" si="39">ROUND(L67-Q67,2)</f>
        <v>6.95</v>
      </c>
      <c r="AA67" s="4">
        <f t="shared" ref="AA67:AA130" si="40">ROUND(W67/SUM(W67:X67),4)</f>
        <v>0.40689999999999998</v>
      </c>
      <c r="AB67" s="5">
        <f t="shared" ref="AB67:AB130" si="41">ROUND(Y67/SUM(Y67:Z67),4)</f>
        <v>0.44219999999999998</v>
      </c>
      <c r="AC67" s="5">
        <f t="shared" ref="AC67:AC130" si="42">ROUND(AB67-AA67,4)</f>
        <v>3.5299999999999998E-2</v>
      </c>
      <c r="AD67" s="3">
        <v>1.4456315243709101E-2</v>
      </c>
      <c r="AE67" s="4">
        <f>ROUND(S67*(1-(Exhaust!$B$2+AD67)),2)</f>
        <v>0</v>
      </c>
      <c r="AF67" s="5">
        <f>ROUND(T67*(1-(Exhaust!$B$3+$AD67)),2)</f>
        <v>2.83</v>
      </c>
      <c r="AG67" s="3">
        <f>ROUND(U67*(1-(Exhaust!$B$4+$AD67)),2)</f>
        <v>3.7</v>
      </c>
      <c r="AH67" s="4">
        <f>ROUND($AE67*(SUMIFS(PrefFlows!$C:$C,PrefFlows!$A:$A,$S$1,PrefFlows!$B:$B,$B67)+$AC67)+$AF67*(SUMIFS(PrefFlows!$C:$C,PrefFlows!$A:$A,$T$1,PrefFlows!$B:$B,$B67)+$AC67)+$AG67*(SUMIFS(PrefFlows!$C:$C,PrefFlows!$A:$A,$U$1,PrefFlows!$B:$B,$B67)+$AC67),2)</f>
        <v>2.81</v>
      </c>
      <c r="AI67" s="3">
        <f>ROUND($AE67*(1-(SUMIFS(PrefFlows!$C:$C,PrefFlows!$A:$A,$S$1,PrefFlows!$B:$B,$B67)+$AC67))+$AF67*(1-(SUMIFS(PrefFlows!$C:$C,PrefFlows!$A:$A,$T$1,PrefFlows!$B:$B,$B67)+$AC67))+$AG67*(1-(SUMIFS(PrefFlows!$C:$C,PrefFlows!$A:$A,$U$1,PrefFlows!$B:$B,$B67)+$AC67)),2)</f>
        <v>3.72</v>
      </c>
      <c r="AJ67" s="4">
        <f t="shared" ref="AJ67:AJ130" si="43">ROUND(R67+AH67,2)</f>
        <v>55.52</v>
      </c>
      <c r="AK67" s="3">
        <f t="shared" ref="AK67:AK130" si="44">ROUND(Q67+AI67,2)</f>
        <v>38.549999999999997</v>
      </c>
      <c r="AL67" s="4">
        <f t="shared" ref="AL67:AM130" si="45">ROUND(AJ67/SUM($AJ67:$AK67)*100,2)</f>
        <v>59.02</v>
      </c>
      <c r="AM67" s="3">
        <f t="shared" si="45"/>
        <v>40.98</v>
      </c>
      <c r="AN67" s="1">
        <f t="shared" si="27"/>
        <v>8.2200000000000006</v>
      </c>
      <c r="AO67" s="1">
        <f t="shared" si="28"/>
        <v>9.11</v>
      </c>
      <c r="AP67" s="3">
        <f t="shared" si="29"/>
        <v>9.02</v>
      </c>
      <c r="AQ67" s="1" t="b">
        <f t="shared" ref="AQ67:AR130" si="46">$AN67/AO67&lt;0</f>
        <v>0</v>
      </c>
      <c r="AR67" s="1" t="b">
        <f t="shared" si="46"/>
        <v>0</v>
      </c>
      <c r="AS67" s="3" t="b">
        <f t="shared" ref="AS67:AS130" si="47">AO67/AP67&lt;0</f>
        <v>0</v>
      </c>
      <c r="AT67" s="1">
        <f t="shared" ref="AT67:AU130" si="48">(AO67-$AN67)</f>
        <v>0.88999999999999879</v>
      </c>
      <c r="AU67" s="1">
        <f t="shared" si="48"/>
        <v>0.79999999999999893</v>
      </c>
      <c r="AV67" s="3">
        <f t="shared" ref="AV67:AV130" si="49">ABS(AP67-$AO67)</f>
        <v>8.9999999999999858E-2</v>
      </c>
      <c r="AW67" s="1">
        <f>ROUND(IF($B67="NSW",N67*Meta!$B$6,N67),1)</f>
        <v>2627</v>
      </c>
      <c r="AX67" s="3">
        <f t="shared" si="30"/>
        <v>79185.899999999994</v>
      </c>
    </row>
    <row r="68" spans="1:50" x14ac:dyDescent="0.55000000000000004">
      <c r="A68" s="2" t="s">
        <v>78</v>
      </c>
      <c r="B68" s="3" t="s">
        <v>30</v>
      </c>
      <c r="C68" s="4">
        <v>41.48</v>
      </c>
      <c r="D68" s="5">
        <v>42.94</v>
      </c>
      <c r="E68" s="5">
        <v>0</v>
      </c>
      <c r="F68" s="5">
        <v>1.17</v>
      </c>
      <c r="G68" s="5">
        <v>1.53</v>
      </c>
      <c r="H68" s="5">
        <v>8.52</v>
      </c>
      <c r="I68" s="5">
        <v>5.89</v>
      </c>
      <c r="J68" s="3">
        <f t="shared" si="31"/>
        <v>5.53</v>
      </c>
      <c r="K68" s="4">
        <v>48.74</v>
      </c>
      <c r="L68" s="3">
        <v>51.26</v>
      </c>
      <c r="M68" s="4">
        <v>76859</v>
      </c>
      <c r="N68" s="5">
        <v>3397</v>
      </c>
      <c r="O68" s="3">
        <f t="shared" si="32"/>
        <v>73462</v>
      </c>
      <c r="P68" s="5">
        <f t="shared" si="33"/>
        <v>4.4197816781378886E-2</v>
      </c>
      <c r="Q68" s="4">
        <f>ROUND($C68+MIN($D68:$E68)*(1-SUMIFS(PrefFlows!$C:$C,PrefFlows!$A:$A,INDEX($D$1:$E$1,MATCH(MIN($D68:$E68),$D68:$E68,0)),PrefFlows!$B:$B,$B68)),2)</f>
        <v>41.48</v>
      </c>
      <c r="R68" s="5">
        <f>ROUND(MAX($D68:$E68)+MIN($D68:$E68)*SUMIFS(PrefFlows!$C:$C,PrefFlows!$A:$A,INDEX($D$1:$E$1,MATCH(MIN($D68:$E68),$D68:$E68,0)),PrefFlows!$B:$B,$B68),2)</f>
        <v>42.94</v>
      </c>
      <c r="S68" s="5">
        <f t="shared" si="34"/>
        <v>1.53</v>
      </c>
      <c r="T68" s="5">
        <f t="shared" si="35"/>
        <v>8.52</v>
      </c>
      <c r="U68" s="3">
        <f t="shared" si="36"/>
        <v>5.53</v>
      </c>
      <c r="V68" s="6">
        <f t="shared" si="37"/>
        <v>1.46</v>
      </c>
      <c r="W68" s="4">
        <f>ROUND($S68*SUMIFS(PrefFlows!$C:$C,PrefFlows!$A:$A,$S$1,PrefFlows!$B:$B,$B68)+$T68*SUMIFS(PrefFlows!$C:$C,PrefFlows!$A:$A,$T$1,PrefFlows!$B:$B,$B68)+$U68*SUMIFS(PrefFlows!$C:$C,PrefFlows!$A:$A,$U$1,PrefFlows!$B:$B,$B68),2)</f>
        <v>5.7</v>
      </c>
      <c r="X68" s="3">
        <f>ROUND($S68*(1-SUMIFS(PrefFlows!$C:$C,PrefFlows!$A:$A,$S$1,PrefFlows!$B:$B,$B68))+$T68*(1-SUMIFS(PrefFlows!$C:$C,PrefFlows!$A:$A,$T$1,PrefFlows!$B:$B,$B68))+$U68*(1-SUMIFS(PrefFlows!$C:$C,PrefFlows!$A:$A,$U$1,PrefFlows!$B:$B,$B68)),2)</f>
        <v>9.8800000000000008</v>
      </c>
      <c r="Y68" s="4">
        <f t="shared" si="38"/>
        <v>5.8</v>
      </c>
      <c r="Z68" s="3">
        <f t="shared" si="39"/>
        <v>9.7799999999999994</v>
      </c>
      <c r="AA68" s="4">
        <f t="shared" si="40"/>
        <v>0.3659</v>
      </c>
      <c r="AB68" s="5">
        <f t="shared" si="41"/>
        <v>0.37230000000000002</v>
      </c>
      <c r="AC68" s="5">
        <f t="shared" si="42"/>
        <v>6.4000000000000003E-3</v>
      </c>
      <c r="AD68" s="3">
        <v>4.6725584940706E-2</v>
      </c>
      <c r="AE68" s="4">
        <f>ROUND(S68*(1-(Exhaust!$B$2+AD68)),2)</f>
        <v>0.6</v>
      </c>
      <c r="AF68" s="5">
        <f>ROUND(T68*(1-(Exhaust!$B$3+$AD68)),2)</f>
        <v>4.71</v>
      </c>
      <c r="AG68" s="3">
        <f>ROUND(U68*(1-(Exhaust!$B$4+$AD68)),2)</f>
        <v>2.5099999999999998</v>
      </c>
      <c r="AH68" s="4">
        <f>ROUND($AE68*(SUMIFS(PrefFlows!$C:$C,PrefFlows!$A:$A,$S$1,PrefFlows!$B:$B,$B68)+$AC68)+$AF68*(SUMIFS(PrefFlows!$C:$C,PrefFlows!$A:$A,$T$1,PrefFlows!$B:$B,$B68)+$AC68)+$AG68*(SUMIFS(PrefFlows!$C:$C,PrefFlows!$A:$A,$U$1,PrefFlows!$B:$B,$B68)+$AC68),2)</f>
        <v>2.79</v>
      </c>
      <c r="AI68" s="3">
        <f>ROUND($AE68*(1-(SUMIFS(PrefFlows!$C:$C,PrefFlows!$A:$A,$S$1,PrefFlows!$B:$B,$B68)+$AC68))+$AF68*(1-(SUMIFS(PrefFlows!$C:$C,PrefFlows!$A:$A,$T$1,PrefFlows!$B:$B,$B68)+$AC68))+$AG68*(1-(SUMIFS(PrefFlows!$C:$C,PrefFlows!$A:$A,$U$1,PrefFlows!$B:$B,$B68)+$AC68)),2)</f>
        <v>5.03</v>
      </c>
      <c r="AJ68" s="4">
        <f t="shared" si="43"/>
        <v>45.73</v>
      </c>
      <c r="AK68" s="3">
        <f t="shared" si="44"/>
        <v>46.51</v>
      </c>
      <c r="AL68" s="4">
        <f t="shared" si="45"/>
        <v>49.58</v>
      </c>
      <c r="AM68" s="3">
        <f t="shared" si="45"/>
        <v>50.42</v>
      </c>
      <c r="AN68" s="1">
        <f t="shared" si="27"/>
        <v>-1.26</v>
      </c>
      <c r="AO68" s="1">
        <f t="shared" si="28"/>
        <v>-0.33</v>
      </c>
      <c r="AP68" s="3">
        <f t="shared" si="29"/>
        <v>-0.42</v>
      </c>
      <c r="AQ68" s="1" t="b">
        <f t="shared" si="46"/>
        <v>0</v>
      </c>
      <c r="AR68" s="1" t="b">
        <f t="shared" si="46"/>
        <v>0</v>
      </c>
      <c r="AS68" s="3" t="b">
        <f t="shared" si="47"/>
        <v>0</v>
      </c>
      <c r="AT68" s="1">
        <f t="shared" si="48"/>
        <v>0.92999999999999994</v>
      </c>
      <c r="AU68" s="1">
        <f t="shared" si="48"/>
        <v>0.84000000000000008</v>
      </c>
      <c r="AV68" s="3">
        <f t="shared" si="49"/>
        <v>8.9999999999999969E-2</v>
      </c>
      <c r="AW68" s="1">
        <f>ROUND(IF($B68="NSW",N68*Meta!$B$6,N68),1)</f>
        <v>3397</v>
      </c>
      <c r="AX68" s="3">
        <f t="shared" si="30"/>
        <v>68867.8</v>
      </c>
    </row>
    <row r="69" spans="1:50" x14ac:dyDescent="0.55000000000000004">
      <c r="A69" s="2" t="s">
        <v>79</v>
      </c>
      <c r="B69" s="3" t="s">
        <v>22</v>
      </c>
      <c r="C69" s="4">
        <v>43.79</v>
      </c>
      <c r="D69" s="5">
        <v>45.7</v>
      </c>
      <c r="E69" s="5">
        <v>0</v>
      </c>
      <c r="F69" s="5">
        <v>1.57</v>
      </c>
      <c r="G69" s="5">
        <v>0.91</v>
      </c>
      <c r="H69" s="5">
        <v>5.13</v>
      </c>
      <c r="I69" s="5">
        <v>3.81</v>
      </c>
      <c r="J69" s="3">
        <f t="shared" si="31"/>
        <v>4.47</v>
      </c>
      <c r="K69" s="4">
        <v>50.21</v>
      </c>
      <c r="L69" s="3">
        <v>49.79</v>
      </c>
      <c r="M69" s="4">
        <v>85410</v>
      </c>
      <c r="N69" s="5">
        <v>3575</v>
      </c>
      <c r="O69" s="3">
        <f t="shared" si="32"/>
        <v>81835</v>
      </c>
      <c r="P69" s="5">
        <f t="shared" si="33"/>
        <v>4.1856925418569252E-2</v>
      </c>
      <c r="Q69" s="4">
        <f>ROUND($C69+MIN($D69:$E69)*(1-SUMIFS(PrefFlows!$C:$C,PrefFlows!$A:$A,INDEX($D$1:$E$1,MATCH(MIN($D69:$E69),$D69:$E69,0)),PrefFlows!$B:$B,$B69)),2)</f>
        <v>43.79</v>
      </c>
      <c r="R69" s="5">
        <f>ROUND(MAX($D69:$E69)+MIN($D69:$E69)*SUMIFS(PrefFlows!$C:$C,PrefFlows!$A:$A,INDEX($D$1:$E$1,MATCH(MIN($D69:$E69),$D69:$E69,0)),PrefFlows!$B:$B,$B69),2)</f>
        <v>45.7</v>
      </c>
      <c r="S69" s="5">
        <f t="shared" si="34"/>
        <v>0.91</v>
      </c>
      <c r="T69" s="5">
        <f t="shared" si="35"/>
        <v>5.13</v>
      </c>
      <c r="U69" s="3">
        <f t="shared" si="36"/>
        <v>4.47</v>
      </c>
      <c r="V69" s="6">
        <f t="shared" si="37"/>
        <v>1.91</v>
      </c>
      <c r="W69" s="4">
        <f>ROUND($S69*SUMIFS(PrefFlows!$C:$C,PrefFlows!$A:$A,$S$1,PrefFlows!$B:$B,$B69)+$T69*SUMIFS(PrefFlows!$C:$C,PrefFlows!$A:$A,$T$1,PrefFlows!$B:$B,$B69)+$U69*SUMIFS(PrefFlows!$C:$C,PrefFlows!$A:$A,$U$1,PrefFlows!$B:$B,$B69),2)</f>
        <v>4.04</v>
      </c>
      <c r="X69" s="3">
        <f>ROUND($S69*(1-SUMIFS(PrefFlows!$C:$C,PrefFlows!$A:$A,$S$1,PrefFlows!$B:$B,$B69))+$T69*(1-SUMIFS(PrefFlows!$C:$C,PrefFlows!$A:$A,$T$1,PrefFlows!$B:$B,$B69))+$U69*(1-SUMIFS(PrefFlows!$C:$C,PrefFlows!$A:$A,$U$1,PrefFlows!$B:$B,$B69)),2)</f>
        <v>6.47</v>
      </c>
      <c r="Y69" s="4">
        <f t="shared" si="38"/>
        <v>4.51</v>
      </c>
      <c r="Z69" s="3">
        <f t="shared" si="39"/>
        <v>6</v>
      </c>
      <c r="AA69" s="4">
        <f t="shared" si="40"/>
        <v>0.38440000000000002</v>
      </c>
      <c r="AB69" s="5">
        <f t="shared" si="41"/>
        <v>0.42909999999999998</v>
      </c>
      <c r="AC69" s="5">
        <f t="shared" si="42"/>
        <v>4.4699999999999997E-2</v>
      </c>
      <c r="AD69" s="3">
        <v>3.3272385930110303E-2</v>
      </c>
      <c r="AE69" s="4">
        <f>ROUND(S69*(1-(Exhaust!$B$2+AD69)),2)</f>
        <v>0.37</v>
      </c>
      <c r="AF69" s="5">
        <f>ROUND(T69*(1-(Exhaust!$B$3+$AD69)),2)</f>
        <v>2.91</v>
      </c>
      <c r="AG69" s="3">
        <f>ROUND(U69*(1-(Exhaust!$B$4+$AD69)),2)</f>
        <v>2.09</v>
      </c>
      <c r="AH69" s="4">
        <f>ROUND($AE69*(SUMIFS(PrefFlows!$C:$C,PrefFlows!$A:$A,$S$1,PrefFlows!$B:$B,$B69)+$AC69)+$AF69*(SUMIFS(PrefFlows!$C:$C,PrefFlows!$A:$A,$T$1,PrefFlows!$B:$B,$B69)+$AC69)+$AG69*(SUMIFS(PrefFlows!$C:$C,PrefFlows!$A:$A,$U$1,PrefFlows!$B:$B,$B69)+$AC69),2)</f>
        <v>2.2200000000000002</v>
      </c>
      <c r="AI69" s="3">
        <f>ROUND($AE69*(1-(SUMIFS(PrefFlows!$C:$C,PrefFlows!$A:$A,$S$1,PrefFlows!$B:$B,$B69)+$AC69))+$AF69*(1-(SUMIFS(PrefFlows!$C:$C,PrefFlows!$A:$A,$T$1,PrefFlows!$B:$B,$B69)+$AC69))+$AG69*(1-(SUMIFS(PrefFlows!$C:$C,PrefFlows!$A:$A,$U$1,PrefFlows!$B:$B,$B69)+$AC69)),2)</f>
        <v>3.15</v>
      </c>
      <c r="AJ69" s="4">
        <f t="shared" si="43"/>
        <v>47.92</v>
      </c>
      <c r="AK69" s="3">
        <f t="shared" si="44"/>
        <v>46.94</v>
      </c>
      <c r="AL69" s="4">
        <f t="shared" si="45"/>
        <v>50.52</v>
      </c>
      <c r="AM69" s="3">
        <f t="shared" si="45"/>
        <v>49.48</v>
      </c>
      <c r="AN69" s="1">
        <f t="shared" si="27"/>
        <v>0.21</v>
      </c>
      <c r="AO69" s="1">
        <f t="shared" si="28"/>
        <v>0.6</v>
      </c>
      <c r="AP69" s="3">
        <f t="shared" si="29"/>
        <v>0.52</v>
      </c>
      <c r="AQ69" s="1" t="b">
        <f t="shared" si="46"/>
        <v>0</v>
      </c>
      <c r="AR69" s="1" t="b">
        <f t="shared" si="46"/>
        <v>0</v>
      </c>
      <c r="AS69" s="3" t="b">
        <f t="shared" si="47"/>
        <v>0</v>
      </c>
      <c r="AT69" s="1">
        <f t="shared" si="48"/>
        <v>0.39</v>
      </c>
      <c r="AU69" s="1">
        <f t="shared" si="48"/>
        <v>0.31000000000000005</v>
      </c>
      <c r="AV69" s="3">
        <f t="shared" si="49"/>
        <v>7.999999999999996E-2</v>
      </c>
      <c r="AW69" s="1">
        <f>ROUND(IF($B69="NSW",N69*Meta!$B$6,N69),1)</f>
        <v>3575</v>
      </c>
      <c r="AX69" s="3">
        <f t="shared" si="30"/>
        <v>78826.2</v>
      </c>
    </row>
    <row r="70" spans="1:50" x14ac:dyDescent="0.55000000000000004">
      <c r="A70" s="2" t="s">
        <v>80</v>
      </c>
      <c r="B70" s="3" t="s">
        <v>9</v>
      </c>
      <c r="C70" s="4">
        <v>31.08</v>
      </c>
      <c r="D70" s="5">
        <v>53.61</v>
      </c>
      <c r="E70" s="5">
        <v>0</v>
      </c>
      <c r="F70" s="5">
        <v>0.77</v>
      </c>
      <c r="G70" s="5">
        <v>0</v>
      </c>
      <c r="H70" s="5">
        <v>10.75</v>
      </c>
      <c r="I70" s="5">
        <v>3.79</v>
      </c>
      <c r="J70" s="3">
        <f t="shared" si="31"/>
        <v>4.5599999999999996</v>
      </c>
      <c r="K70" s="4">
        <v>57.04</v>
      </c>
      <c r="L70" s="3">
        <v>42.96</v>
      </c>
      <c r="M70" s="4">
        <v>83779</v>
      </c>
      <c r="N70" s="5">
        <v>2150</v>
      </c>
      <c r="O70" s="3">
        <f t="shared" si="32"/>
        <v>81629</v>
      </c>
      <c r="P70" s="5">
        <f t="shared" si="33"/>
        <v>2.566275558314136E-2</v>
      </c>
      <c r="Q70" s="4">
        <f>ROUND($C70+MIN($D70:$E70)*(1-SUMIFS(PrefFlows!$C:$C,PrefFlows!$A:$A,INDEX($D$1:$E$1,MATCH(MIN($D70:$E70),$D70:$E70,0)),PrefFlows!$B:$B,$B70)),2)</f>
        <v>31.08</v>
      </c>
      <c r="R70" s="5">
        <f>ROUND(MAX($D70:$E70)+MIN($D70:$E70)*SUMIFS(PrefFlows!$C:$C,PrefFlows!$A:$A,INDEX($D$1:$E$1,MATCH(MIN($D70:$E70),$D70:$E70,0)),PrefFlows!$B:$B,$B70),2)</f>
        <v>53.61</v>
      </c>
      <c r="S70" s="5">
        <f t="shared" si="34"/>
        <v>0</v>
      </c>
      <c r="T70" s="5">
        <f t="shared" si="35"/>
        <v>10.75</v>
      </c>
      <c r="U70" s="3">
        <f t="shared" si="36"/>
        <v>4.5599999999999996</v>
      </c>
      <c r="V70" s="6">
        <f t="shared" si="37"/>
        <v>22.53</v>
      </c>
      <c r="W70" s="4">
        <f>ROUND($S70*SUMIFS(PrefFlows!$C:$C,PrefFlows!$A:$A,$S$1,PrefFlows!$B:$B,$B70)+$T70*SUMIFS(PrefFlows!$C:$C,PrefFlows!$A:$A,$T$1,PrefFlows!$B:$B,$B70)+$U70*SUMIFS(PrefFlows!$C:$C,PrefFlows!$A:$A,$U$1,PrefFlows!$B:$B,$B70),2)</f>
        <v>4.2699999999999996</v>
      </c>
      <c r="X70" s="3">
        <f>ROUND($S70*(1-SUMIFS(PrefFlows!$C:$C,PrefFlows!$A:$A,$S$1,PrefFlows!$B:$B,$B70))+$T70*(1-SUMIFS(PrefFlows!$C:$C,PrefFlows!$A:$A,$T$1,PrefFlows!$B:$B,$B70))+$U70*(1-SUMIFS(PrefFlows!$C:$C,PrefFlows!$A:$A,$U$1,PrefFlows!$B:$B,$B70)),2)</f>
        <v>11.04</v>
      </c>
      <c r="Y70" s="4">
        <f t="shared" si="38"/>
        <v>3.43</v>
      </c>
      <c r="Z70" s="3">
        <f t="shared" si="39"/>
        <v>11.88</v>
      </c>
      <c r="AA70" s="4">
        <f t="shared" si="40"/>
        <v>0.27889999999999998</v>
      </c>
      <c r="AB70" s="5">
        <f t="shared" si="41"/>
        <v>0.224</v>
      </c>
      <c r="AC70" s="5">
        <f t="shared" si="42"/>
        <v>-5.4899999999999997E-2</v>
      </c>
      <c r="AD70" s="3">
        <v>-9.6585778443875295E-2</v>
      </c>
      <c r="AE70" s="4">
        <f>ROUND(S70*(1-(Exhaust!$B$2+AD70)),2)</f>
        <v>0</v>
      </c>
      <c r="AF70" s="5">
        <f>ROUND(T70*(1-(Exhaust!$B$3+$AD70)),2)</f>
        <v>7.49</v>
      </c>
      <c r="AG70" s="3">
        <f>ROUND(U70*(1-(Exhaust!$B$4+$AD70)),2)</f>
        <v>2.72</v>
      </c>
      <c r="AH70" s="4">
        <f>ROUND($AE70*(SUMIFS(PrefFlows!$C:$C,PrefFlows!$A:$A,$S$1,PrefFlows!$B:$B,$B70)+$AC70)+$AF70*(SUMIFS(PrefFlows!$C:$C,PrefFlows!$A:$A,$T$1,PrefFlows!$B:$B,$B70)+$AC70)+$AG70*(SUMIFS(PrefFlows!$C:$C,PrefFlows!$A:$A,$U$1,PrefFlows!$B:$B,$B70)+$AC70),2)</f>
        <v>2.17</v>
      </c>
      <c r="AI70" s="3">
        <f>ROUND($AE70*(1-(SUMIFS(PrefFlows!$C:$C,PrefFlows!$A:$A,$S$1,PrefFlows!$B:$B,$B70)+$AC70))+$AF70*(1-(SUMIFS(PrefFlows!$C:$C,PrefFlows!$A:$A,$T$1,PrefFlows!$B:$B,$B70)+$AC70))+$AG70*(1-(SUMIFS(PrefFlows!$C:$C,PrefFlows!$A:$A,$U$1,PrefFlows!$B:$B,$B70)+$AC70)),2)</f>
        <v>8.0399999999999991</v>
      </c>
      <c r="AJ70" s="4">
        <f t="shared" si="43"/>
        <v>55.78</v>
      </c>
      <c r="AK70" s="3">
        <f t="shared" si="44"/>
        <v>39.119999999999997</v>
      </c>
      <c r="AL70" s="4">
        <f t="shared" si="45"/>
        <v>58.78</v>
      </c>
      <c r="AM70" s="3">
        <f t="shared" si="45"/>
        <v>41.22</v>
      </c>
      <c r="AN70" s="1">
        <f t="shared" si="27"/>
        <v>7.04</v>
      </c>
      <c r="AO70" s="1">
        <f t="shared" si="28"/>
        <v>9.7899999999999991</v>
      </c>
      <c r="AP70" s="3">
        <f t="shared" si="29"/>
        <v>8.7799999999999994</v>
      </c>
      <c r="AQ70" s="1" t="b">
        <f t="shared" si="46"/>
        <v>0</v>
      </c>
      <c r="AR70" s="1" t="b">
        <f t="shared" si="46"/>
        <v>0</v>
      </c>
      <c r="AS70" s="3" t="b">
        <f t="shared" si="47"/>
        <v>0</v>
      </c>
      <c r="AT70" s="1">
        <f t="shared" si="48"/>
        <v>2.7499999999999991</v>
      </c>
      <c r="AU70" s="1">
        <f t="shared" si="48"/>
        <v>1.7399999999999993</v>
      </c>
      <c r="AV70" s="3">
        <f t="shared" si="49"/>
        <v>1.0099999999999998</v>
      </c>
      <c r="AW70" s="1">
        <f>ROUND(IF($B70="NSW",N70*Meta!$B$6,N70),1)</f>
        <v>2150</v>
      </c>
      <c r="AX70" s="3">
        <f t="shared" si="30"/>
        <v>78186.399999999994</v>
      </c>
    </row>
    <row r="71" spans="1:50" x14ac:dyDescent="0.55000000000000004">
      <c r="A71" s="2" t="s">
        <v>81</v>
      </c>
      <c r="B71" s="3" t="s">
        <v>7</v>
      </c>
      <c r="C71" s="4">
        <v>47.21</v>
      </c>
      <c r="D71" s="5">
        <v>40.08</v>
      </c>
      <c r="E71" s="5">
        <v>0</v>
      </c>
      <c r="F71" s="5">
        <v>2.12</v>
      </c>
      <c r="G71" s="5">
        <v>0</v>
      </c>
      <c r="H71" s="5">
        <v>6.98</v>
      </c>
      <c r="I71" s="5">
        <v>3.61</v>
      </c>
      <c r="J71" s="3">
        <f t="shared" si="31"/>
        <v>5.73</v>
      </c>
      <c r="K71" s="4">
        <v>44.95</v>
      </c>
      <c r="L71" s="3">
        <v>55.05</v>
      </c>
      <c r="M71" s="4">
        <v>94322</v>
      </c>
      <c r="N71" s="5">
        <v>3618</v>
      </c>
      <c r="O71" s="3">
        <f t="shared" si="32"/>
        <v>90704</v>
      </c>
      <c r="P71" s="5">
        <f t="shared" si="33"/>
        <v>3.8357965267912048E-2</v>
      </c>
      <c r="Q71" s="4">
        <f>ROUND($C71+MIN($D71:$E71)*(1-SUMIFS(PrefFlows!$C:$C,PrefFlows!$A:$A,INDEX($D$1:$E$1,MATCH(MIN($D71:$E71),$D71:$E71,0)),PrefFlows!$B:$B,$B71)),2)</f>
        <v>47.21</v>
      </c>
      <c r="R71" s="5">
        <f>ROUND(MAX($D71:$E71)+MIN($D71:$E71)*SUMIFS(PrefFlows!$C:$C,PrefFlows!$A:$A,INDEX($D$1:$E$1,MATCH(MIN($D71:$E71),$D71:$E71,0)),PrefFlows!$B:$B,$B71),2)</f>
        <v>40.08</v>
      </c>
      <c r="S71" s="5">
        <f t="shared" si="34"/>
        <v>0</v>
      </c>
      <c r="T71" s="5">
        <f t="shared" si="35"/>
        <v>6.98</v>
      </c>
      <c r="U71" s="3">
        <f t="shared" si="36"/>
        <v>5.73</v>
      </c>
      <c r="V71" s="6">
        <f t="shared" si="37"/>
        <v>-7.13</v>
      </c>
      <c r="W71" s="4">
        <f>ROUND($S71*SUMIFS(PrefFlows!$C:$C,PrefFlows!$A:$A,$S$1,PrefFlows!$B:$B,$B71)+$T71*SUMIFS(PrefFlows!$C:$C,PrefFlows!$A:$A,$T$1,PrefFlows!$B:$B,$B71)+$U71*SUMIFS(PrefFlows!$C:$C,PrefFlows!$A:$A,$U$1,PrefFlows!$B:$B,$B71),2)</f>
        <v>4.5599999999999996</v>
      </c>
      <c r="X71" s="3">
        <f>ROUND($S71*(1-SUMIFS(PrefFlows!$C:$C,PrefFlows!$A:$A,$S$1,PrefFlows!$B:$B,$B71))+$T71*(1-SUMIFS(PrefFlows!$C:$C,PrefFlows!$A:$A,$T$1,PrefFlows!$B:$B,$B71))+$U71*(1-SUMIFS(PrefFlows!$C:$C,PrefFlows!$A:$A,$U$1,PrefFlows!$B:$B,$B71)),2)</f>
        <v>8.15</v>
      </c>
      <c r="Y71" s="4">
        <f t="shared" si="38"/>
        <v>4.87</v>
      </c>
      <c r="Z71" s="3">
        <f t="shared" si="39"/>
        <v>7.84</v>
      </c>
      <c r="AA71" s="4">
        <f t="shared" si="40"/>
        <v>0.35880000000000001</v>
      </c>
      <c r="AB71" s="5">
        <f t="shared" si="41"/>
        <v>0.38319999999999999</v>
      </c>
      <c r="AC71" s="5">
        <f t="shared" si="42"/>
        <v>2.4400000000000002E-2</v>
      </c>
      <c r="AD71" s="3">
        <v>-1.3488549376158E-2</v>
      </c>
      <c r="AE71" s="4">
        <f>ROUND(S71*(1-(Exhaust!$B$2+AD71)),2)</f>
        <v>0</v>
      </c>
      <c r="AF71" s="5">
        <f>ROUND(T71*(1-(Exhaust!$B$3+$AD71)),2)</f>
        <v>4.28</v>
      </c>
      <c r="AG71" s="3">
        <f>ROUND(U71*(1-(Exhaust!$B$4+$AD71)),2)</f>
        <v>2.94</v>
      </c>
      <c r="AH71" s="4">
        <f>ROUND($AE71*(SUMIFS(PrefFlows!$C:$C,PrefFlows!$A:$A,$S$1,PrefFlows!$B:$B,$B71)+$AC71)+$AF71*(SUMIFS(PrefFlows!$C:$C,PrefFlows!$A:$A,$T$1,PrefFlows!$B:$B,$B71)+$AC71)+$AG71*(SUMIFS(PrefFlows!$C:$C,PrefFlows!$A:$A,$U$1,PrefFlows!$B:$B,$B71)+$AC71),2)</f>
        <v>2.67</v>
      </c>
      <c r="AI71" s="3">
        <f>ROUND($AE71*(1-(SUMIFS(PrefFlows!$C:$C,PrefFlows!$A:$A,$S$1,PrefFlows!$B:$B,$B71)+$AC71))+$AF71*(1-(SUMIFS(PrefFlows!$C:$C,PrefFlows!$A:$A,$T$1,PrefFlows!$B:$B,$B71)+$AC71))+$AG71*(1-(SUMIFS(PrefFlows!$C:$C,PrefFlows!$A:$A,$U$1,PrefFlows!$B:$B,$B71)+$AC71)),2)</f>
        <v>4.55</v>
      </c>
      <c r="AJ71" s="4">
        <f t="shared" si="43"/>
        <v>42.75</v>
      </c>
      <c r="AK71" s="3">
        <f t="shared" si="44"/>
        <v>51.76</v>
      </c>
      <c r="AL71" s="4">
        <f t="shared" si="45"/>
        <v>45.23</v>
      </c>
      <c r="AM71" s="3">
        <f t="shared" si="45"/>
        <v>54.77</v>
      </c>
      <c r="AN71" s="1">
        <f t="shared" si="27"/>
        <v>-5.05</v>
      </c>
      <c r="AO71" s="1">
        <f t="shared" si="28"/>
        <v>-4.62</v>
      </c>
      <c r="AP71" s="3">
        <f t="shared" si="29"/>
        <v>-4.7699999999999996</v>
      </c>
      <c r="AQ71" s="1" t="b">
        <f t="shared" si="46"/>
        <v>0</v>
      </c>
      <c r="AR71" s="1" t="b">
        <f t="shared" si="46"/>
        <v>0</v>
      </c>
      <c r="AS71" s="3" t="b">
        <f t="shared" si="47"/>
        <v>0</v>
      </c>
      <c r="AT71" s="1">
        <f t="shared" si="48"/>
        <v>0.42999999999999972</v>
      </c>
      <c r="AU71" s="1">
        <f t="shared" si="48"/>
        <v>0.28000000000000025</v>
      </c>
      <c r="AV71" s="3">
        <f t="shared" si="49"/>
        <v>0.14999999999999947</v>
      </c>
      <c r="AW71" s="1">
        <f>ROUND(IF($B71="NSW",N71*Meta!$B$6,N71),1)</f>
        <v>3618</v>
      </c>
      <c r="AX71" s="3">
        <f t="shared" si="30"/>
        <v>86931.8</v>
      </c>
    </row>
    <row r="72" spans="1:50" x14ac:dyDescent="0.55000000000000004">
      <c r="A72" s="2" t="s">
        <v>82</v>
      </c>
      <c r="B72" s="3" t="s">
        <v>22</v>
      </c>
      <c r="C72" s="4">
        <v>42.88</v>
      </c>
      <c r="D72" s="5">
        <v>0</v>
      </c>
      <c r="E72" s="5">
        <v>46.44</v>
      </c>
      <c r="F72" s="5">
        <v>3.51</v>
      </c>
      <c r="G72" s="5">
        <v>0</v>
      </c>
      <c r="H72" s="5">
        <v>4.1100000000000003</v>
      </c>
      <c r="I72" s="5">
        <v>3.06</v>
      </c>
      <c r="J72" s="3">
        <f t="shared" si="31"/>
        <v>6.57</v>
      </c>
      <c r="K72" s="4">
        <v>51.69</v>
      </c>
      <c r="L72" s="3">
        <v>48.31</v>
      </c>
      <c r="M72" s="4">
        <v>85594</v>
      </c>
      <c r="N72" s="5">
        <v>3345</v>
      </c>
      <c r="O72" s="3">
        <f t="shared" si="32"/>
        <v>82249</v>
      </c>
      <c r="P72" s="5">
        <f t="shared" si="33"/>
        <v>3.9079842045003158E-2</v>
      </c>
      <c r="Q72" s="4">
        <f>ROUND($C72+MIN($D72:$E72)*(1-SUMIFS(PrefFlows!$C:$C,PrefFlows!$A:$A,INDEX($D$1:$E$1,MATCH(MIN($D72:$E72),$D72:$E72,0)),PrefFlows!$B:$B,$B72)),2)</f>
        <v>42.88</v>
      </c>
      <c r="R72" s="5">
        <f>ROUND(MAX($D72:$E72)+MIN($D72:$E72)*SUMIFS(PrefFlows!$C:$C,PrefFlows!$A:$A,INDEX($D$1:$E$1,MATCH(MIN($D72:$E72),$D72:$E72,0)),PrefFlows!$B:$B,$B72),2)</f>
        <v>46.44</v>
      </c>
      <c r="S72" s="5">
        <f t="shared" si="34"/>
        <v>0</v>
      </c>
      <c r="T72" s="5">
        <f t="shared" si="35"/>
        <v>4.1100000000000003</v>
      </c>
      <c r="U72" s="3">
        <f t="shared" si="36"/>
        <v>6.57</v>
      </c>
      <c r="V72" s="6">
        <f t="shared" si="37"/>
        <v>3.56</v>
      </c>
      <c r="W72" s="4">
        <f>ROUND($S72*SUMIFS(PrefFlows!$C:$C,PrefFlows!$A:$A,$S$1,PrefFlows!$B:$B,$B72)+$T72*SUMIFS(PrefFlows!$C:$C,PrefFlows!$A:$A,$T$1,PrefFlows!$B:$B,$B72)+$U72*SUMIFS(PrefFlows!$C:$C,PrefFlows!$A:$A,$U$1,PrefFlows!$B:$B,$B72),2)</f>
        <v>4.3499999999999996</v>
      </c>
      <c r="X72" s="3">
        <f>ROUND($S72*(1-SUMIFS(PrefFlows!$C:$C,PrefFlows!$A:$A,$S$1,PrefFlows!$B:$B,$B72))+$T72*(1-SUMIFS(PrefFlows!$C:$C,PrefFlows!$A:$A,$T$1,PrefFlows!$B:$B,$B72))+$U72*(1-SUMIFS(PrefFlows!$C:$C,PrefFlows!$A:$A,$U$1,PrefFlows!$B:$B,$B72)),2)</f>
        <v>6.33</v>
      </c>
      <c r="Y72" s="4">
        <f t="shared" si="38"/>
        <v>5.25</v>
      </c>
      <c r="Z72" s="3">
        <f t="shared" si="39"/>
        <v>5.43</v>
      </c>
      <c r="AA72" s="4">
        <f t="shared" si="40"/>
        <v>0.4073</v>
      </c>
      <c r="AB72" s="5">
        <f t="shared" si="41"/>
        <v>0.49159999999999998</v>
      </c>
      <c r="AC72" s="5">
        <f t="shared" si="42"/>
        <v>8.43E-2</v>
      </c>
      <c r="AD72" s="3">
        <v>5.34805381205452E-2</v>
      </c>
      <c r="AE72" s="4">
        <f>ROUND(S72*(1-(Exhaust!$B$2+AD72)),2)</f>
        <v>0</v>
      </c>
      <c r="AF72" s="5">
        <f>ROUND(T72*(1-(Exhaust!$B$3+$AD72)),2)</f>
        <v>2.25</v>
      </c>
      <c r="AG72" s="3">
        <f>ROUND(U72*(1-(Exhaust!$B$4+$AD72)),2)</f>
        <v>2.93</v>
      </c>
      <c r="AH72" s="4">
        <f>ROUND($AE72*(SUMIFS(PrefFlows!$C:$C,PrefFlows!$A:$A,$S$1,PrefFlows!$B:$B,$B72)+$AC72)+$AF72*(SUMIFS(PrefFlows!$C:$C,PrefFlows!$A:$A,$T$1,PrefFlows!$B:$B,$B72)+$AC72)+$AG72*(SUMIFS(PrefFlows!$C:$C,PrefFlows!$A:$A,$U$1,PrefFlows!$B:$B,$B72)+$AC72),2)</f>
        <v>2.48</v>
      </c>
      <c r="AI72" s="3">
        <f>ROUND($AE72*(1-(SUMIFS(PrefFlows!$C:$C,PrefFlows!$A:$A,$S$1,PrefFlows!$B:$B,$B72)+$AC72))+$AF72*(1-(SUMIFS(PrefFlows!$C:$C,PrefFlows!$A:$A,$T$1,PrefFlows!$B:$B,$B72)+$AC72))+$AG72*(1-(SUMIFS(PrefFlows!$C:$C,PrefFlows!$A:$A,$U$1,PrefFlows!$B:$B,$B72)+$AC72)),2)</f>
        <v>2.7</v>
      </c>
      <c r="AJ72" s="4">
        <f t="shared" si="43"/>
        <v>48.92</v>
      </c>
      <c r="AK72" s="3">
        <f t="shared" si="44"/>
        <v>45.58</v>
      </c>
      <c r="AL72" s="4">
        <f t="shared" si="45"/>
        <v>51.77</v>
      </c>
      <c r="AM72" s="3">
        <f t="shared" si="45"/>
        <v>48.23</v>
      </c>
      <c r="AN72" s="1">
        <f t="shared" si="27"/>
        <v>1.69</v>
      </c>
      <c r="AO72" s="1">
        <f t="shared" si="28"/>
        <v>1.83</v>
      </c>
      <c r="AP72" s="3">
        <f t="shared" si="29"/>
        <v>1.77</v>
      </c>
      <c r="AQ72" s="1" t="b">
        <f t="shared" si="46"/>
        <v>0</v>
      </c>
      <c r="AR72" s="1" t="b">
        <f t="shared" si="46"/>
        <v>0</v>
      </c>
      <c r="AS72" s="3" t="b">
        <f t="shared" si="47"/>
        <v>0</v>
      </c>
      <c r="AT72" s="1">
        <f t="shared" si="48"/>
        <v>0.14000000000000012</v>
      </c>
      <c r="AU72" s="1">
        <f t="shared" si="48"/>
        <v>8.0000000000000071E-2</v>
      </c>
      <c r="AV72" s="3">
        <f t="shared" si="49"/>
        <v>6.0000000000000053E-2</v>
      </c>
      <c r="AW72" s="1">
        <f>ROUND(IF($B72="NSW",N72*Meta!$B$6,N72),1)</f>
        <v>3345</v>
      </c>
      <c r="AX72" s="3">
        <f t="shared" si="30"/>
        <v>78841.5</v>
      </c>
    </row>
    <row r="73" spans="1:50" x14ac:dyDescent="0.55000000000000004">
      <c r="A73" s="2" t="s">
        <v>83</v>
      </c>
      <c r="B73" s="3" t="s">
        <v>9</v>
      </c>
      <c r="C73" s="4">
        <v>55.65</v>
      </c>
      <c r="D73" s="5">
        <v>34.22</v>
      </c>
      <c r="E73" s="5">
        <v>0</v>
      </c>
      <c r="F73" s="5">
        <v>4.3899999999999997</v>
      </c>
      <c r="G73" s="5">
        <v>0</v>
      </c>
      <c r="H73" s="5">
        <v>4.12</v>
      </c>
      <c r="I73" s="5">
        <v>1.62</v>
      </c>
      <c r="J73" s="3">
        <f t="shared" si="31"/>
        <v>6.01</v>
      </c>
      <c r="K73" s="4">
        <v>38.369999999999997</v>
      </c>
      <c r="L73" s="3">
        <v>61.63</v>
      </c>
      <c r="M73" s="4">
        <v>96305</v>
      </c>
      <c r="N73" s="5">
        <v>3430</v>
      </c>
      <c r="O73" s="3">
        <f t="shared" si="32"/>
        <v>92875</v>
      </c>
      <c r="P73" s="5">
        <f t="shared" si="33"/>
        <v>3.5616011629718086E-2</v>
      </c>
      <c r="Q73" s="4">
        <f>ROUND($C73+MIN($D73:$E73)*(1-SUMIFS(PrefFlows!$C:$C,PrefFlows!$A:$A,INDEX($D$1:$E$1,MATCH(MIN($D73:$E73),$D73:$E73,0)),PrefFlows!$B:$B,$B73)),2)</f>
        <v>55.65</v>
      </c>
      <c r="R73" s="5">
        <f>ROUND(MAX($D73:$E73)+MIN($D73:$E73)*SUMIFS(PrefFlows!$C:$C,PrefFlows!$A:$A,INDEX($D$1:$E$1,MATCH(MIN($D73:$E73),$D73:$E73,0)),PrefFlows!$B:$B,$B73),2)</f>
        <v>34.22</v>
      </c>
      <c r="S73" s="5">
        <f t="shared" si="34"/>
        <v>0</v>
      </c>
      <c r="T73" s="5">
        <f t="shared" si="35"/>
        <v>4.12</v>
      </c>
      <c r="U73" s="3">
        <f t="shared" si="36"/>
        <v>6.01</v>
      </c>
      <c r="V73" s="6">
        <f t="shared" si="37"/>
        <v>-21.43</v>
      </c>
      <c r="W73" s="4">
        <f>ROUND($S73*SUMIFS(PrefFlows!$C:$C,PrefFlows!$A:$A,$S$1,PrefFlows!$B:$B,$B73)+$T73*SUMIFS(PrefFlows!$C:$C,PrefFlows!$A:$A,$T$1,PrefFlows!$B:$B,$B73)+$U73*SUMIFS(PrefFlows!$C:$C,PrefFlows!$A:$A,$U$1,PrefFlows!$B:$B,$B73),2)</f>
        <v>3.9</v>
      </c>
      <c r="X73" s="3">
        <f>ROUND($S73*(1-SUMIFS(PrefFlows!$C:$C,PrefFlows!$A:$A,$S$1,PrefFlows!$B:$B,$B73))+$T73*(1-SUMIFS(PrefFlows!$C:$C,PrefFlows!$A:$A,$T$1,PrefFlows!$B:$B,$B73))+$U73*(1-SUMIFS(PrefFlows!$C:$C,PrefFlows!$A:$A,$U$1,PrefFlows!$B:$B,$B73)),2)</f>
        <v>6.23</v>
      </c>
      <c r="Y73" s="4">
        <f t="shared" si="38"/>
        <v>4.1500000000000004</v>
      </c>
      <c r="Z73" s="3">
        <f t="shared" si="39"/>
        <v>5.98</v>
      </c>
      <c r="AA73" s="4">
        <f t="shared" si="40"/>
        <v>0.38500000000000001</v>
      </c>
      <c r="AB73" s="5">
        <f t="shared" si="41"/>
        <v>0.40970000000000001</v>
      </c>
      <c r="AC73" s="5">
        <f t="shared" si="42"/>
        <v>2.47E-2</v>
      </c>
      <c r="AD73" s="3">
        <v>8.7370797973600006E-2</v>
      </c>
      <c r="AE73" s="4">
        <f>ROUND(S73*(1-(Exhaust!$B$2+AD73)),2)</f>
        <v>0</v>
      </c>
      <c r="AF73" s="5">
        <f>ROUND(T73*(1-(Exhaust!$B$3+$AD73)),2)</f>
        <v>2.11</v>
      </c>
      <c r="AG73" s="3">
        <f>ROUND(U73*(1-(Exhaust!$B$4+$AD73)),2)</f>
        <v>2.48</v>
      </c>
      <c r="AH73" s="4">
        <f>ROUND($AE73*(SUMIFS(PrefFlows!$C:$C,PrefFlows!$A:$A,$S$1,PrefFlows!$B:$B,$B73)+$AC73)+$AF73*(SUMIFS(PrefFlows!$C:$C,PrefFlows!$A:$A,$T$1,PrefFlows!$B:$B,$B73)+$AC73)+$AG73*(SUMIFS(PrefFlows!$C:$C,PrefFlows!$A:$A,$U$1,PrefFlows!$B:$B,$B73)+$AC73),2)</f>
        <v>1.79</v>
      </c>
      <c r="AI73" s="3">
        <f>ROUND($AE73*(1-(SUMIFS(PrefFlows!$C:$C,PrefFlows!$A:$A,$S$1,PrefFlows!$B:$B,$B73)+$AC73))+$AF73*(1-(SUMIFS(PrefFlows!$C:$C,PrefFlows!$A:$A,$T$1,PrefFlows!$B:$B,$B73)+$AC73))+$AG73*(1-(SUMIFS(PrefFlows!$C:$C,PrefFlows!$A:$A,$U$1,PrefFlows!$B:$B,$B73)+$AC73)),2)</f>
        <v>2.8</v>
      </c>
      <c r="AJ73" s="4">
        <f t="shared" si="43"/>
        <v>36.01</v>
      </c>
      <c r="AK73" s="3">
        <f t="shared" si="44"/>
        <v>58.45</v>
      </c>
      <c r="AL73" s="4">
        <f t="shared" si="45"/>
        <v>38.119999999999997</v>
      </c>
      <c r="AM73" s="3">
        <f t="shared" si="45"/>
        <v>61.88</v>
      </c>
      <c r="AN73" s="1">
        <f t="shared" si="27"/>
        <v>-11.63</v>
      </c>
      <c r="AO73" s="1">
        <f t="shared" si="28"/>
        <v>-11.76</v>
      </c>
      <c r="AP73" s="3">
        <f t="shared" si="29"/>
        <v>-11.88</v>
      </c>
      <c r="AQ73" s="1" t="b">
        <f t="shared" si="46"/>
        <v>0</v>
      </c>
      <c r="AR73" s="1" t="b">
        <f t="shared" si="46"/>
        <v>0</v>
      </c>
      <c r="AS73" s="3" t="b">
        <f t="shared" si="47"/>
        <v>0</v>
      </c>
      <c r="AT73" s="1">
        <f t="shared" si="48"/>
        <v>-0.12999999999999901</v>
      </c>
      <c r="AU73" s="1">
        <f t="shared" si="48"/>
        <v>-0.25</v>
      </c>
      <c r="AV73" s="3">
        <f t="shared" si="49"/>
        <v>0.12000000000000099</v>
      </c>
      <c r="AW73" s="1">
        <f>ROUND(IF($B73="NSW",N73*Meta!$B$6,N73),1)</f>
        <v>3430</v>
      </c>
      <c r="AX73" s="3">
        <f t="shared" si="30"/>
        <v>88873.8</v>
      </c>
    </row>
    <row r="74" spans="1:50" x14ac:dyDescent="0.55000000000000004">
      <c r="A74" s="2" t="s">
        <v>84</v>
      </c>
      <c r="B74" s="3" t="s">
        <v>9</v>
      </c>
      <c r="C74" s="4">
        <v>55.15</v>
      </c>
      <c r="D74" s="5">
        <v>33.75</v>
      </c>
      <c r="E74" s="5">
        <v>0</v>
      </c>
      <c r="F74" s="5">
        <v>2.04</v>
      </c>
      <c r="G74" s="5">
        <v>0</v>
      </c>
      <c r="H74" s="5">
        <v>6.85</v>
      </c>
      <c r="I74" s="5">
        <v>2.21</v>
      </c>
      <c r="J74" s="3">
        <f t="shared" si="31"/>
        <v>4.25</v>
      </c>
      <c r="K74" s="4">
        <v>37</v>
      </c>
      <c r="L74" s="3">
        <v>63</v>
      </c>
      <c r="M74" s="4">
        <v>84103</v>
      </c>
      <c r="N74" s="5">
        <v>2772</v>
      </c>
      <c r="O74" s="3">
        <f t="shared" si="32"/>
        <v>81331</v>
      </c>
      <c r="P74" s="5">
        <f t="shared" si="33"/>
        <v>3.2959585270442196E-2</v>
      </c>
      <c r="Q74" s="4">
        <f>ROUND($C74+MIN($D74:$E74)*(1-SUMIFS(PrefFlows!$C:$C,PrefFlows!$A:$A,INDEX($D$1:$E$1,MATCH(MIN($D74:$E74),$D74:$E74,0)),PrefFlows!$B:$B,$B74)),2)</f>
        <v>55.15</v>
      </c>
      <c r="R74" s="5">
        <f>ROUND(MAX($D74:$E74)+MIN($D74:$E74)*SUMIFS(PrefFlows!$C:$C,PrefFlows!$A:$A,INDEX($D$1:$E$1,MATCH(MIN($D74:$E74),$D74:$E74,0)),PrefFlows!$B:$B,$B74),2)</f>
        <v>33.75</v>
      </c>
      <c r="S74" s="5">
        <f t="shared" si="34"/>
        <v>0</v>
      </c>
      <c r="T74" s="5">
        <f t="shared" si="35"/>
        <v>6.85</v>
      </c>
      <c r="U74" s="3">
        <f t="shared" si="36"/>
        <v>4.25</v>
      </c>
      <c r="V74" s="6">
        <f t="shared" si="37"/>
        <v>-21.4</v>
      </c>
      <c r="W74" s="4">
        <f>ROUND($S74*SUMIFS(PrefFlows!$C:$C,PrefFlows!$A:$A,$S$1,PrefFlows!$B:$B,$B74)+$T74*SUMIFS(PrefFlows!$C:$C,PrefFlows!$A:$A,$T$1,PrefFlows!$B:$B,$B74)+$U74*SUMIFS(PrefFlows!$C:$C,PrefFlows!$A:$A,$U$1,PrefFlows!$B:$B,$B74),2)</f>
        <v>3.43</v>
      </c>
      <c r="X74" s="3">
        <f>ROUND($S74*(1-SUMIFS(PrefFlows!$C:$C,PrefFlows!$A:$A,$S$1,PrefFlows!$B:$B,$B74))+$T74*(1-SUMIFS(PrefFlows!$C:$C,PrefFlows!$A:$A,$T$1,PrefFlows!$B:$B,$B74))+$U74*(1-SUMIFS(PrefFlows!$C:$C,PrefFlows!$A:$A,$U$1,PrefFlows!$B:$B,$B74)),2)</f>
        <v>7.67</v>
      </c>
      <c r="Y74" s="4">
        <f t="shared" si="38"/>
        <v>3.25</v>
      </c>
      <c r="Z74" s="3">
        <f t="shared" si="39"/>
        <v>7.85</v>
      </c>
      <c r="AA74" s="4">
        <f t="shared" si="40"/>
        <v>0.309</v>
      </c>
      <c r="AB74" s="5">
        <f t="shared" si="41"/>
        <v>0.2928</v>
      </c>
      <c r="AC74" s="5">
        <f t="shared" si="42"/>
        <v>-1.6199999999999999E-2</v>
      </c>
      <c r="AD74" s="3">
        <v>-1.98329221457203E-2</v>
      </c>
      <c r="AE74" s="4">
        <f>ROUND(S74*(1-(Exhaust!$B$2+AD74)),2)</f>
        <v>0</v>
      </c>
      <c r="AF74" s="5">
        <f>ROUND(T74*(1-(Exhaust!$B$3+$AD74)),2)</f>
        <v>4.25</v>
      </c>
      <c r="AG74" s="3">
        <f>ROUND(U74*(1-(Exhaust!$B$4+$AD74)),2)</f>
        <v>2.21</v>
      </c>
      <c r="AH74" s="4">
        <f>ROUND($AE74*(SUMIFS(PrefFlows!$C:$C,PrefFlows!$A:$A,$S$1,PrefFlows!$B:$B,$B74)+$AC74)+$AF74*(SUMIFS(PrefFlows!$C:$C,PrefFlows!$A:$A,$T$1,PrefFlows!$B:$B,$B74)+$AC74)+$AG74*(SUMIFS(PrefFlows!$C:$C,PrefFlows!$A:$A,$U$1,PrefFlows!$B:$B,$B74)+$AC74),2)</f>
        <v>1.8</v>
      </c>
      <c r="AI74" s="3">
        <f>ROUND($AE74*(1-(SUMIFS(PrefFlows!$C:$C,PrefFlows!$A:$A,$S$1,PrefFlows!$B:$B,$B74)+$AC74))+$AF74*(1-(SUMIFS(PrefFlows!$C:$C,PrefFlows!$A:$A,$T$1,PrefFlows!$B:$B,$B74)+$AC74))+$AG74*(1-(SUMIFS(PrefFlows!$C:$C,PrefFlows!$A:$A,$U$1,PrefFlows!$B:$B,$B74)+$AC74)),2)</f>
        <v>4.66</v>
      </c>
      <c r="AJ74" s="4">
        <f t="shared" si="43"/>
        <v>35.549999999999997</v>
      </c>
      <c r="AK74" s="3">
        <f t="shared" si="44"/>
        <v>59.81</v>
      </c>
      <c r="AL74" s="4">
        <f t="shared" si="45"/>
        <v>37.28</v>
      </c>
      <c r="AM74" s="3">
        <f t="shared" si="45"/>
        <v>62.72</v>
      </c>
      <c r="AN74" s="1">
        <f t="shared" si="27"/>
        <v>-13</v>
      </c>
      <c r="AO74" s="1">
        <f t="shared" si="28"/>
        <v>-12.57</v>
      </c>
      <c r="AP74" s="3">
        <f t="shared" si="29"/>
        <v>-12.72</v>
      </c>
      <c r="AQ74" s="1" t="b">
        <f t="shared" si="46"/>
        <v>0</v>
      </c>
      <c r="AR74" s="1" t="b">
        <f t="shared" si="46"/>
        <v>0</v>
      </c>
      <c r="AS74" s="3" t="b">
        <f t="shared" si="47"/>
        <v>0</v>
      </c>
      <c r="AT74" s="1">
        <f t="shared" si="48"/>
        <v>0.42999999999999972</v>
      </c>
      <c r="AU74" s="1">
        <f t="shared" si="48"/>
        <v>0.27999999999999936</v>
      </c>
      <c r="AV74" s="3">
        <f t="shared" si="49"/>
        <v>0.15000000000000036</v>
      </c>
      <c r="AW74" s="1">
        <f>ROUND(IF($B74="NSW",N74*Meta!$B$6,N74),1)</f>
        <v>2772</v>
      </c>
      <c r="AX74" s="3">
        <f t="shared" si="30"/>
        <v>78490.7</v>
      </c>
    </row>
    <row r="75" spans="1:50" x14ac:dyDescent="0.55000000000000004">
      <c r="A75" s="2" t="s">
        <v>85</v>
      </c>
      <c r="B75" s="3" t="s">
        <v>12</v>
      </c>
      <c r="C75" s="4">
        <v>42.01</v>
      </c>
      <c r="D75" s="5">
        <v>48.29</v>
      </c>
      <c r="E75" s="5">
        <v>0</v>
      </c>
      <c r="F75" s="5">
        <v>1.24</v>
      </c>
      <c r="G75" s="5">
        <v>0</v>
      </c>
      <c r="H75" s="5">
        <v>5.56</v>
      </c>
      <c r="I75" s="5">
        <v>2.9</v>
      </c>
      <c r="J75" s="3">
        <f t="shared" si="31"/>
        <v>4.1399999999999997</v>
      </c>
      <c r="K75" s="4">
        <v>52.16</v>
      </c>
      <c r="L75" s="3">
        <v>47.84</v>
      </c>
      <c r="M75" s="4">
        <v>87231</v>
      </c>
      <c r="N75" s="5">
        <v>3712</v>
      </c>
      <c r="O75" s="3">
        <f t="shared" si="32"/>
        <v>83519</v>
      </c>
      <c r="P75" s="5">
        <f t="shared" si="33"/>
        <v>4.2553679311254027E-2</v>
      </c>
      <c r="Q75" s="4">
        <f>ROUND($C75+MIN($D75:$E75)*(1-SUMIFS(PrefFlows!$C:$C,PrefFlows!$A:$A,INDEX($D$1:$E$1,MATCH(MIN($D75:$E75),$D75:$E75,0)),PrefFlows!$B:$B,$B75)),2)</f>
        <v>42.01</v>
      </c>
      <c r="R75" s="5">
        <f>ROUND(MAX($D75:$E75)+MIN($D75:$E75)*SUMIFS(PrefFlows!$C:$C,PrefFlows!$A:$A,INDEX($D$1:$E$1,MATCH(MIN($D75:$E75),$D75:$E75,0)),PrefFlows!$B:$B,$B75),2)</f>
        <v>48.29</v>
      </c>
      <c r="S75" s="5">
        <f t="shared" si="34"/>
        <v>0</v>
      </c>
      <c r="T75" s="5">
        <f t="shared" si="35"/>
        <v>5.56</v>
      </c>
      <c r="U75" s="3">
        <f t="shared" si="36"/>
        <v>4.1399999999999997</v>
      </c>
      <c r="V75" s="6">
        <f t="shared" si="37"/>
        <v>6.28</v>
      </c>
      <c r="W75" s="4">
        <f>ROUND($S75*SUMIFS(PrefFlows!$C:$C,PrefFlows!$A:$A,$S$1,PrefFlows!$B:$B,$B75)+$T75*SUMIFS(PrefFlows!$C:$C,PrefFlows!$A:$A,$T$1,PrefFlows!$B:$B,$B75)+$U75*SUMIFS(PrefFlows!$C:$C,PrefFlows!$A:$A,$U$1,PrefFlows!$B:$B,$B75),2)</f>
        <v>3.26</v>
      </c>
      <c r="X75" s="3">
        <f>ROUND($S75*(1-SUMIFS(PrefFlows!$C:$C,PrefFlows!$A:$A,$S$1,PrefFlows!$B:$B,$B75))+$T75*(1-SUMIFS(PrefFlows!$C:$C,PrefFlows!$A:$A,$T$1,PrefFlows!$B:$B,$B75))+$U75*(1-SUMIFS(PrefFlows!$C:$C,PrefFlows!$A:$A,$U$1,PrefFlows!$B:$B,$B75)),2)</f>
        <v>6.44</v>
      </c>
      <c r="Y75" s="4">
        <f t="shared" si="38"/>
        <v>3.87</v>
      </c>
      <c r="Z75" s="3">
        <f t="shared" si="39"/>
        <v>5.83</v>
      </c>
      <c r="AA75" s="4">
        <f t="shared" si="40"/>
        <v>0.33610000000000001</v>
      </c>
      <c r="AB75" s="5">
        <f t="shared" si="41"/>
        <v>0.39900000000000002</v>
      </c>
      <c r="AC75" s="5">
        <f t="shared" si="42"/>
        <v>6.2899999999999998E-2</v>
      </c>
      <c r="AD75" s="3">
        <v>5.5109537946937501E-2</v>
      </c>
      <c r="AE75" s="4">
        <f>ROUND(S75*(1-(Exhaust!$B$2+AD75)),2)</f>
        <v>0</v>
      </c>
      <c r="AF75" s="5">
        <f>ROUND(T75*(1-(Exhaust!$B$3+$AD75)),2)</f>
        <v>3.03</v>
      </c>
      <c r="AG75" s="3">
        <f>ROUND(U75*(1-(Exhaust!$B$4+$AD75)),2)</f>
        <v>1.84</v>
      </c>
      <c r="AH75" s="4">
        <f>ROUND($AE75*(SUMIFS(PrefFlows!$C:$C,PrefFlows!$A:$A,$S$1,PrefFlows!$B:$B,$B75)+$AC75)+$AF75*(SUMIFS(PrefFlows!$C:$C,PrefFlows!$A:$A,$T$1,PrefFlows!$B:$B,$B75)+$AC75)+$AG75*(SUMIFS(PrefFlows!$C:$C,PrefFlows!$A:$A,$U$1,PrefFlows!$B:$B,$B75)+$AC75),2)</f>
        <v>1.86</v>
      </c>
      <c r="AI75" s="3">
        <f>ROUND($AE75*(1-(SUMIFS(PrefFlows!$C:$C,PrefFlows!$A:$A,$S$1,PrefFlows!$B:$B,$B75)+$AC75))+$AF75*(1-(SUMIFS(PrefFlows!$C:$C,PrefFlows!$A:$A,$T$1,PrefFlows!$B:$B,$B75)+$AC75))+$AG75*(1-(SUMIFS(PrefFlows!$C:$C,PrefFlows!$A:$A,$U$1,PrefFlows!$B:$B,$B75)+$AC75)),2)</f>
        <v>3.01</v>
      </c>
      <c r="AJ75" s="4">
        <f t="shared" si="43"/>
        <v>50.15</v>
      </c>
      <c r="AK75" s="3">
        <f t="shared" si="44"/>
        <v>45.02</v>
      </c>
      <c r="AL75" s="4">
        <f t="shared" si="45"/>
        <v>52.7</v>
      </c>
      <c r="AM75" s="3">
        <f t="shared" si="45"/>
        <v>47.3</v>
      </c>
      <c r="AN75" s="1">
        <f t="shared" si="27"/>
        <v>2.16</v>
      </c>
      <c r="AO75" s="1">
        <f t="shared" si="28"/>
        <v>2.76</v>
      </c>
      <c r="AP75" s="3">
        <f t="shared" si="29"/>
        <v>2.7</v>
      </c>
      <c r="AQ75" s="1" t="b">
        <f t="shared" si="46"/>
        <v>0</v>
      </c>
      <c r="AR75" s="1" t="b">
        <f t="shared" si="46"/>
        <v>0</v>
      </c>
      <c r="AS75" s="3" t="b">
        <f t="shared" si="47"/>
        <v>0</v>
      </c>
      <c r="AT75" s="1">
        <f t="shared" si="48"/>
        <v>0.59999999999999964</v>
      </c>
      <c r="AU75" s="1">
        <f t="shared" si="48"/>
        <v>0.54</v>
      </c>
      <c r="AV75" s="3">
        <f t="shared" si="49"/>
        <v>5.9999999999999609E-2</v>
      </c>
      <c r="AW75" s="1">
        <f>ROUND(IF($B75="NSW",N75*Meta!$B$6,N75),1)</f>
        <v>2438.8000000000002</v>
      </c>
      <c r="AX75" s="3">
        <f t="shared" si="30"/>
        <v>81516.3</v>
      </c>
    </row>
    <row r="76" spans="1:50" x14ac:dyDescent="0.55000000000000004">
      <c r="A76" s="2" t="s">
        <v>86</v>
      </c>
      <c r="B76" s="3" t="s">
        <v>12</v>
      </c>
      <c r="C76" s="4">
        <v>37.93</v>
      </c>
      <c r="D76" s="5">
        <v>49.18</v>
      </c>
      <c r="E76" s="5">
        <v>0</v>
      </c>
      <c r="F76" s="5">
        <v>2.33</v>
      </c>
      <c r="G76" s="5">
        <v>0</v>
      </c>
      <c r="H76" s="5">
        <v>7.63</v>
      </c>
      <c r="I76" s="5">
        <v>2.93</v>
      </c>
      <c r="J76" s="3">
        <f t="shared" si="31"/>
        <v>5.26</v>
      </c>
      <c r="K76" s="4">
        <v>54.16</v>
      </c>
      <c r="L76" s="3">
        <v>45.84</v>
      </c>
      <c r="M76" s="4">
        <v>87009</v>
      </c>
      <c r="N76" s="5">
        <v>2946</v>
      </c>
      <c r="O76" s="3">
        <f t="shared" si="32"/>
        <v>84063</v>
      </c>
      <c r="P76" s="5">
        <f t="shared" si="33"/>
        <v>3.3858566355204636E-2</v>
      </c>
      <c r="Q76" s="4">
        <f>ROUND($C76+MIN($D76:$E76)*(1-SUMIFS(PrefFlows!$C:$C,PrefFlows!$A:$A,INDEX($D$1:$E$1,MATCH(MIN($D76:$E76),$D76:$E76,0)),PrefFlows!$B:$B,$B76)),2)</f>
        <v>37.93</v>
      </c>
      <c r="R76" s="5">
        <f>ROUND(MAX($D76:$E76)+MIN($D76:$E76)*SUMIFS(PrefFlows!$C:$C,PrefFlows!$A:$A,INDEX($D$1:$E$1,MATCH(MIN($D76:$E76),$D76:$E76,0)),PrefFlows!$B:$B,$B76),2)</f>
        <v>49.18</v>
      </c>
      <c r="S76" s="5">
        <f t="shared" si="34"/>
        <v>0</v>
      </c>
      <c r="T76" s="5">
        <f t="shared" si="35"/>
        <v>7.63</v>
      </c>
      <c r="U76" s="3">
        <f t="shared" si="36"/>
        <v>5.26</v>
      </c>
      <c r="V76" s="6">
        <f t="shared" si="37"/>
        <v>11.25</v>
      </c>
      <c r="W76" s="4">
        <f>ROUND($S76*SUMIFS(PrefFlows!$C:$C,PrefFlows!$A:$A,$S$1,PrefFlows!$B:$B,$B76)+$T76*SUMIFS(PrefFlows!$C:$C,PrefFlows!$A:$A,$T$1,PrefFlows!$B:$B,$B76)+$U76*SUMIFS(PrefFlows!$C:$C,PrefFlows!$A:$A,$U$1,PrefFlows!$B:$B,$B76),2)</f>
        <v>4.25</v>
      </c>
      <c r="X76" s="3">
        <f>ROUND($S76*(1-SUMIFS(PrefFlows!$C:$C,PrefFlows!$A:$A,$S$1,PrefFlows!$B:$B,$B76))+$T76*(1-SUMIFS(PrefFlows!$C:$C,PrefFlows!$A:$A,$T$1,PrefFlows!$B:$B,$B76))+$U76*(1-SUMIFS(PrefFlows!$C:$C,PrefFlows!$A:$A,$U$1,PrefFlows!$B:$B,$B76)),2)</f>
        <v>8.64</v>
      </c>
      <c r="Y76" s="4">
        <f t="shared" si="38"/>
        <v>4.9800000000000004</v>
      </c>
      <c r="Z76" s="3">
        <f t="shared" si="39"/>
        <v>7.91</v>
      </c>
      <c r="AA76" s="4">
        <f t="shared" si="40"/>
        <v>0.32969999999999999</v>
      </c>
      <c r="AB76" s="5">
        <f t="shared" si="41"/>
        <v>0.38629999999999998</v>
      </c>
      <c r="AC76" s="5">
        <f t="shared" si="42"/>
        <v>5.6599999999999998E-2</v>
      </c>
      <c r="AD76" s="3">
        <v>-9.0623747823777006E-3</v>
      </c>
      <c r="AE76" s="4">
        <f>ROUND(S76*(1-(Exhaust!$B$2+AD76)),2)</f>
        <v>0</v>
      </c>
      <c r="AF76" s="5">
        <f>ROUND(T76*(1-(Exhaust!$B$3+$AD76)),2)</f>
        <v>4.6500000000000004</v>
      </c>
      <c r="AG76" s="3">
        <f>ROUND(U76*(1-(Exhaust!$B$4+$AD76)),2)</f>
        <v>2.68</v>
      </c>
      <c r="AH76" s="4">
        <f>ROUND($AE76*(SUMIFS(PrefFlows!$C:$C,PrefFlows!$A:$A,$S$1,PrefFlows!$B:$B,$B76)+$AC76)+$AF76*(SUMIFS(PrefFlows!$C:$C,PrefFlows!$A:$A,$T$1,PrefFlows!$B:$B,$B76)+$AC76)+$AG76*(SUMIFS(PrefFlows!$C:$C,PrefFlows!$A:$A,$U$1,PrefFlows!$B:$B,$B76)+$AC76),2)</f>
        <v>2.72</v>
      </c>
      <c r="AI76" s="3">
        <f>ROUND($AE76*(1-(SUMIFS(PrefFlows!$C:$C,PrefFlows!$A:$A,$S$1,PrefFlows!$B:$B,$B76)+$AC76))+$AF76*(1-(SUMIFS(PrefFlows!$C:$C,PrefFlows!$A:$A,$T$1,PrefFlows!$B:$B,$B76)+$AC76))+$AG76*(1-(SUMIFS(PrefFlows!$C:$C,PrefFlows!$A:$A,$U$1,PrefFlows!$B:$B,$B76)+$AC76)),2)</f>
        <v>4.6100000000000003</v>
      </c>
      <c r="AJ76" s="4">
        <f t="shared" si="43"/>
        <v>51.9</v>
      </c>
      <c r="AK76" s="3">
        <f t="shared" si="44"/>
        <v>42.54</v>
      </c>
      <c r="AL76" s="4">
        <f t="shared" si="45"/>
        <v>54.96</v>
      </c>
      <c r="AM76" s="3">
        <f t="shared" si="45"/>
        <v>45.04</v>
      </c>
      <c r="AN76" s="1">
        <f t="shared" si="27"/>
        <v>4.16</v>
      </c>
      <c r="AO76" s="1">
        <f t="shared" si="28"/>
        <v>5.18</v>
      </c>
      <c r="AP76" s="3">
        <f t="shared" si="29"/>
        <v>4.96</v>
      </c>
      <c r="AQ76" s="1" t="b">
        <f t="shared" si="46"/>
        <v>0</v>
      </c>
      <c r="AR76" s="1" t="b">
        <f t="shared" si="46"/>
        <v>0</v>
      </c>
      <c r="AS76" s="3" t="b">
        <f t="shared" si="47"/>
        <v>0</v>
      </c>
      <c r="AT76" s="1">
        <f t="shared" si="48"/>
        <v>1.0199999999999996</v>
      </c>
      <c r="AU76" s="1">
        <f t="shared" si="48"/>
        <v>0.79999999999999982</v>
      </c>
      <c r="AV76" s="3">
        <f t="shared" si="49"/>
        <v>0.21999999999999975</v>
      </c>
      <c r="AW76" s="1">
        <f>ROUND(IF($B76="NSW",N76*Meta!$B$6,N76),1)</f>
        <v>1935.5</v>
      </c>
      <c r="AX76" s="3">
        <f t="shared" si="30"/>
        <v>80988.899999999994</v>
      </c>
    </row>
    <row r="77" spans="1:50" x14ac:dyDescent="0.55000000000000004">
      <c r="A77" s="2" t="s">
        <v>87</v>
      </c>
      <c r="B77" s="3" t="s">
        <v>12</v>
      </c>
      <c r="C77" s="4">
        <v>59.95</v>
      </c>
      <c r="D77" s="5">
        <v>0</v>
      </c>
      <c r="E77" s="5">
        <v>27.01</v>
      </c>
      <c r="F77" s="5">
        <v>0</v>
      </c>
      <c r="G77" s="5">
        <v>0</v>
      </c>
      <c r="H77" s="5">
        <v>6.37</v>
      </c>
      <c r="I77" s="5">
        <v>6.67</v>
      </c>
      <c r="J77" s="3">
        <f t="shared" si="31"/>
        <v>6.67</v>
      </c>
      <c r="K77" s="4">
        <v>34.08</v>
      </c>
      <c r="L77" s="3">
        <v>65.92</v>
      </c>
      <c r="M77" s="4">
        <v>86387</v>
      </c>
      <c r="N77" s="5">
        <v>3710</v>
      </c>
      <c r="O77" s="3">
        <f t="shared" si="32"/>
        <v>82677</v>
      </c>
      <c r="P77" s="5">
        <f t="shared" si="33"/>
        <v>4.294627663884612E-2</v>
      </c>
      <c r="Q77" s="4">
        <f>ROUND($C77+MIN($D77:$E77)*(1-SUMIFS(PrefFlows!$C:$C,PrefFlows!$A:$A,INDEX($D$1:$E$1,MATCH(MIN($D77:$E77),$D77:$E77,0)),PrefFlows!$B:$B,$B77)),2)</f>
        <v>59.95</v>
      </c>
      <c r="R77" s="5">
        <f>ROUND(MAX($D77:$E77)+MIN($D77:$E77)*SUMIFS(PrefFlows!$C:$C,PrefFlows!$A:$A,INDEX($D$1:$E$1,MATCH(MIN($D77:$E77),$D77:$E77,0)),PrefFlows!$B:$B,$B77),2)</f>
        <v>27.01</v>
      </c>
      <c r="S77" s="5">
        <f t="shared" si="34"/>
        <v>0</v>
      </c>
      <c r="T77" s="5">
        <f t="shared" si="35"/>
        <v>6.37</v>
      </c>
      <c r="U77" s="3">
        <f t="shared" si="36"/>
        <v>6.67</v>
      </c>
      <c r="V77" s="6">
        <f t="shared" si="37"/>
        <v>-32.94</v>
      </c>
      <c r="W77" s="4">
        <f>ROUND($S77*SUMIFS(PrefFlows!$C:$C,PrefFlows!$A:$A,$S$1,PrefFlows!$B:$B,$B77)+$T77*SUMIFS(PrefFlows!$C:$C,PrefFlows!$A:$A,$T$1,PrefFlows!$B:$B,$B77)+$U77*SUMIFS(PrefFlows!$C:$C,PrefFlows!$A:$A,$U$1,PrefFlows!$B:$B,$B77),2)</f>
        <v>4.75</v>
      </c>
      <c r="X77" s="3">
        <f>ROUND($S77*(1-SUMIFS(PrefFlows!$C:$C,PrefFlows!$A:$A,$S$1,PrefFlows!$B:$B,$B77))+$T77*(1-SUMIFS(PrefFlows!$C:$C,PrefFlows!$A:$A,$T$1,PrefFlows!$B:$B,$B77))+$U77*(1-SUMIFS(PrefFlows!$C:$C,PrefFlows!$A:$A,$U$1,PrefFlows!$B:$B,$B77)),2)</f>
        <v>8.2899999999999991</v>
      </c>
      <c r="Y77" s="4">
        <f t="shared" si="38"/>
        <v>7.07</v>
      </c>
      <c r="Z77" s="3">
        <f t="shared" si="39"/>
        <v>5.97</v>
      </c>
      <c r="AA77" s="4">
        <f t="shared" si="40"/>
        <v>0.36430000000000001</v>
      </c>
      <c r="AB77" s="5">
        <f t="shared" si="41"/>
        <v>0.54220000000000002</v>
      </c>
      <c r="AC77" s="5">
        <f t="shared" si="42"/>
        <v>0.1779</v>
      </c>
      <c r="AD77" s="3">
        <v>6.0226011919853897E-2</v>
      </c>
      <c r="AE77" s="4">
        <f>ROUND(S77*(1-(Exhaust!$B$2+AD77)),2)</f>
        <v>0</v>
      </c>
      <c r="AF77" s="5">
        <f>ROUND(T77*(1-(Exhaust!$B$3+$AD77)),2)</f>
        <v>3.44</v>
      </c>
      <c r="AG77" s="3">
        <f>ROUND(U77*(1-(Exhaust!$B$4+$AD77)),2)</f>
        <v>2.93</v>
      </c>
      <c r="AH77" s="4">
        <f>ROUND($AE77*(SUMIFS(PrefFlows!$C:$C,PrefFlows!$A:$A,$S$1,PrefFlows!$B:$B,$B77)+$AC77)+$AF77*(SUMIFS(PrefFlows!$C:$C,PrefFlows!$A:$A,$T$1,PrefFlows!$B:$B,$B77)+$AC77)+$AG77*(SUMIFS(PrefFlows!$C:$C,PrefFlows!$A:$A,$U$1,PrefFlows!$B:$B,$B77)+$AC77),2)</f>
        <v>3.34</v>
      </c>
      <c r="AI77" s="3">
        <f>ROUND($AE77*(1-(SUMIFS(PrefFlows!$C:$C,PrefFlows!$A:$A,$S$1,PrefFlows!$B:$B,$B77)+$AC77))+$AF77*(1-(SUMIFS(PrefFlows!$C:$C,PrefFlows!$A:$A,$T$1,PrefFlows!$B:$B,$B77)+$AC77))+$AG77*(1-(SUMIFS(PrefFlows!$C:$C,PrefFlows!$A:$A,$U$1,PrefFlows!$B:$B,$B77)+$AC77)),2)</f>
        <v>3.03</v>
      </c>
      <c r="AJ77" s="4">
        <f t="shared" si="43"/>
        <v>30.35</v>
      </c>
      <c r="AK77" s="3">
        <f t="shared" si="44"/>
        <v>62.98</v>
      </c>
      <c r="AL77" s="4">
        <f t="shared" si="45"/>
        <v>32.520000000000003</v>
      </c>
      <c r="AM77" s="3">
        <f t="shared" si="45"/>
        <v>67.48</v>
      </c>
      <c r="AN77" s="1">
        <f t="shared" si="27"/>
        <v>-15.92</v>
      </c>
      <c r="AO77" s="1">
        <f t="shared" si="28"/>
        <v>-17.260000000000002</v>
      </c>
      <c r="AP77" s="3">
        <f t="shared" si="29"/>
        <v>-17.48</v>
      </c>
      <c r="AQ77" s="1" t="b">
        <f t="shared" si="46"/>
        <v>0</v>
      </c>
      <c r="AR77" s="1" t="b">
        <f t="shared" si="46"/>
        <v>0</v>
      </c>
      <c r="AS77" s="3" t="b">
        <f t="shared" si="47"/>
        <v>0</v>
      </c>
      <c r="AT77" s="1">
        <f t="shared" si="48"/>
        <v>-1.3400000000000016</v>
      </c>
      <c r="AU77" s="1">
        <f t="shared" si="48"/>
        <v>-1.5600000000000005</v>
      </c>
      <c r="AV77" s="3">
        <f t="shared" si="49"/>
        <v>0.21999999999999886</v>
      </c>
      <c r="AW77" s="1">
        <f>ROUND(IF($B77="NSW",N77*Meta!$B$6,N77),1)</f>
        <v>2437.5</v>
      </c>
      <c r="AX77" s="3">
        <f t="shared" si="30"/>
        <v>79153.399999999994</v>
      </c>
    </row>
    <row r="78" spans="1:50" x14ac:dyDescent="0.55000000000000004">
      <c r="A78" s="2" t="s">
        <v>88</v>
      </c>
      <c r="B78" s="3" t="s">
        <v>9</v>
      </c>
      <c r="C78" s="4">
        <v>32.119999999999997</v>
      </c>
      <c r="D78" s="5">
        <v>54.38</v>
      </c>
      <c r="E78" s="5">
        <v>0</v>
      </c>
      <c r="F78" s="5">
        <v>3.82</v>
      </c>
      <c r="G78" s="5">
        <v>0</v>
      </c>
      <c r="H78" s="5">
        <v>7.58</v>
      </c>
      <c r="I78" s="5">
        <v>2.1</v>
      </c>
      <c r="J78" s="3">
        <f t="shared" si="31"/>
        <v>5.92</v>
      </c>
      <c r="K78" s="4">
        <v>59.19</v>
      </c>
      <c r="L78" s="3">
        <v>40.81</v>
      </c>
      <c r="M78" s="4">
        <v>87023</v>
      </c>
      <c r="N78" s="5">
        <v>2332</v>
      </c>
      <c r="O78" s="3">
        <f t="shared" si="32"/>
        <v>84691</v>
      </c>
      <c r="P78" s="5">
        <f t="shared" si="33"/>
        <v>2.6797513301081325E-2</v>
      </c>
      <c r="Q78" s="4">
        <f>ROUND($C78+MIN($D78:$E78)*(1-SUMIFS(PrefFlows!$C:$C,PrefFlows!$A:$A,INDEX($D$1:$E$1,MATCH(MIN($D78:$E78),$D78:$E78,0)),PrefFlows!$B:$B,$B78)),2)</f>
        <v>32.119999999999997</v>
      </c>
      <c r="R78" s="5">
        <f>ROUND(MAX($D78:$E78)+MIN($D78:$E78)*SUMIFS(PrefFlows!$C:$C,PrefFlows!$A:$A,INDEX($D$1:$E$1,MATCH(MIN($D78:$E78),$D78:$E78,0)),PrefFlows!$B:$B,$B78),2)</f>
        <v>54.38</v>
      </c>
      <c r="S78" s="5">
        <f t="shared" si="34"/>
        <v>0</v>
      </c>
      <c r="T78" s="5">
        <f t="shared" si="35"/>
        <v>7.58</v>
      </c>
      <c r="U78" s="3">
        <f t="shared" si="36"/>
        <v>5.92</v>
      </c>
      <c r="V78" s="6">
        <f t="shared" si="37"/>
        <v>22.26</v>
      </c>
      <c r="W78" s="4">
        <f>ROUND($S78*SUMIFS(PrefFlows!$C:$C,PrefFlows!$A:$A,$S$1,PrefFlows!$B:$B,$B78)+$T78*SUMIFS(PrefFlows!$C:$C,PrefFlows!$A:$A,$T$1,PrefFlows!$B:$B,$B78)+$U78*SUMIFS(PrefFlows!$C:$C,PrefFlows!$A:$A,$U$1,PrefFlows!$B:$B,$B78),2)</f>
        <v>4.45</v>
      </c>
      <c r="X78" s="3">
        <f>ROUND($S78*(1-SUMIFS(PrefFlows!$C:$C,PrefFlows!$A:$A,$S$1,PrefFlows!$B:$B,$B78))+$T78*(1-SUMIFS(PrefFlows!$C:$C,PrefFlows!$A:$A,$T$1,PrefFlows!$B:$B,$B78))+$U78*(1-SUMIFS(PrefFlows!$C:$C,PrefFlows!$A:$A,$U$1,PrefFlows!$B:$B,$B78)),2)</f>
        <v>9.0500000000000007</v>
      </c>
      <c r="Y78" s="4">
        <f t="shared" si="38"/>
        <v>4.8099999999999996</v>
      </c>
      <c r="Z78" s="3">
        <f t="shared" si="39"/>
        <v>8.69</v>
      </c>
      <c r="AA78" s="4">
        <f t="shared" si="40"/>
        <v>0.3296</v>
      </c>
      <c r="AB78" s="5">
        <f t="shared" si="41"/>
        <v>0.35630000000000001</v>
      </c>
      <c r="AC78" s="5">
        <f t="shared" si="42"/>
        <v>2.6700000000000002E-2</v>
      </c>
      <c r="AD78" s="3">
        <v>-4.6614290889683399E-2</v>
      </c>
      <c r="AE78" s="4">
        <f>ROUND(S78*(1-(Exhaust!$B$2+AD78)),2)</f>
        <v>0</v>
      </c>
      <c r="AF78" s="5">
        <f>ROUND(T78*(1-(Exhaust!$B$3+$AD78)),2)</f>
        <v>4.9000000000000004</v>
      </c>
      <c r="AG78" s="3">
        <f>ROUND(U78*(1-(Exhaust!$B$4+$AD78)),2)</f>
        <v>3.24</v>
      </c>
      <c r="AH78" s="4">
        <f>ROUND($AE78*(SUMIFS(PrefFlows!$C:$C,PrefFlows!$A:$A,$S$1,PrefFlows!$B:$B,$B78)+$AC78)+$AF78*(SUMIFS(PrefFlows!$C:$C,PrefFlows!$A:$A,$T$1,PrefFlows!$B:$B,$B78)+$AC78)+$AG78*(SUMIFS(PrefFlows!$C:$C,PrefFlows!$A:$A,$U$1,PrefFlows!$B:$B,$B78)+$AC78),2)</f>
        <v>2.78</v>
      </c>
      <c r="AI78" s="3">
        <f>ROUND($AE78*(1-(SUMIFS(PrefFlows!$C:$C,PrefFlows!$A:$A,$S$1,PrefFlows!$B:$B,$B78)+$AC78))+$AF78*(1-(SUMIFS(PrefFlows!$C:$C,PrefFlows!$A:$A,$T$1,PrefFlows!$B:$B,$B78)+$AC78))+$AG78*(1-(SUMIFS(PrefFlows!$C:$C,PrefFlows!$A:$A,$U$1,PrefFlows!$B:$B,$B78)+$AC78)),2)</f>
        <v>5.36</v>
      </c>
      <c r="AJ78" s="4">
        <f t="shared" si="43"/>
        <v>57.16</v>
      </c>
      <c r="AK78" s="3">
        <f t="shared" si="44"/>
        <v>37.479999999999997</v>
      </c>
      <c r="AL78" s="4">
        <f t="shared" si="45"/>
        <v>60.4</v>
      </c>
      <c r="AM78" s="3">
        <f t="shared" si="45"/>
        <v>39.6</v>
      </c>
      <c r="AN78" s="1">
        <f t="shared" si="27"/>
        <v>9.19</v>
      </c>
      <c r="AO78" s="1">
        <f t="shared" si="28"/>
        <v>10.82</v>
      </c>
      <c r="AP78" s="3">
        <f t="shared" si="29"/>
        <v>10.4</v>
      </c>
      <c r="AQ78" s="1" t="b">
        <f t="shared" si="46"/>
        <v>0</v>
      </c>
      <c r="AR78" s="1" t="b">
        <f t="shared" si="46"/>
        <v>0</v>
      </c>
      <c r="AS78" s="3" t="b">
        <f t="shared" si="47"/>
        <v>0</v>
      </c>
      <c r="AT78" s="1">
        <f t="shared" si="48"/>
        <v>1.6300000000000008</v>
      </c>
      <c r="AU78" s="1">
        <f t="shared" si="48"/>
        <v>1.2100000000000009</v>
      </c>
      <c r="AV78" s="3">
        <f t="shared" si="49"/>
        <v>0.41999999999999993</v>
      </c>
      <c r="AW78" s="1">
        <f>ROUND(IF($B78="NSW",N78*Meta!$B$6,N78),1)</f>
        <v>2332</v>
      </c>
      <c r="AX78" s="3">
        <f t="shared" si="30"/>
        <v>80930.899999999994</v>
      </c>
    </row>
    <row r="79" spans="1:50" x14ac:dyDescent="0.55000000000000004">
      <c r="A79" s="2" t="s">
        <v>89</v>
      </c>
      <c r="B79" s="3" t="s">
        <v>9</v>
      </c>
      <c r="C79" s="4">
        <v>48.76</v>
      </c>
      <c r="D79" s="5">
        <v>38.47</v>
      </c>
      <c r="E79" s="5">
        <v>0</v>
      </c>
      <c r="F79" s="5">
        <v>2.5499999999999998</v>
      </c>
      <c r="G79" s="5">
        <v>0</v>
      </c>
      <c r="H79" s="5">
        <v>6.24</v>
      </c>
      <c r="I79" s="5">
        <v>3.98</v>
      </c>
      <c r="J79" s="3">
        <f t="shared" si="31"/>
        <v>6.53</v>
      </c>
      <c r="K79" s="4">
        <v>42.31</v>
      </c>
      <c r="L79" s="3">
        <v>57.69</v>
      </c>
      <c r="M79" s="4">
        <v>93453</v>
      </c>
      <c r="N79" s="5">
        <v>3092</v>
      </c>
      <c r="O79" s="3">
        <f t="shared" si="32"/>
        <v>90361</v>
      </c>
      <c r="P79" s="5">
        <f t="shared" si="33"/>
        <v>3.3086150257348616E-2</v>
      </c>
      <c r="Q79" s="4">
        <f>ROUND($C79+MIN($D79:$E79)*(1-SUMIFS(PrefFlows!$C:$C,PrefFlows!$A:$A,INDEX($D$1:$E$1,MATCH(MIN($D79:$E79),$D79:$E79,0)),PrefFlows!$B:$B,$B79)),2)</f>
        <v>48.76</v>
      </c>
      <c r="R79" s="5">
        <f>ROUND(MAX($D79:$E79)+MIN($D79:$E79)*SUMIFS(PrefFlows!$C:$C,PrefFlows!$A:$A,INDEX($D$1:$E$1,MATCH(MIN($D79:$E79),$D79:$E79,0)),PrefFlows!$B:$B,$B79),2)</f>
        <v>38.47</v>
      </c>
      <c r="S79" s="5">
        <f t="shared" si="34"/>
        <v>0</v>
      </c>
      <c r="T79" s="5">
        <f t="shared" si="35"/>
        <v>6.24</v>
      </c>
      <c r="U79" s="3">
        <f t="shared" si="36"/>
        <v>6.53</v>
      </c>
      <c r="V79" s="6">
        <f t="shared" si="37"/>
        <v>-10.29</v>
      </c>
      <c r="W79" s="4">
        <f>ROUND($S79*SUMIFS(PrefFlows!$C:$C,PrefFlows!$A:$A,$S$1,PrefFlows!$B:$B,$B79)+$T79*SUMIFS(PrefFlows!$C:$C,PrefFlows!$A:$A,$T$1,PrefFlows!$B:$B,$B79)+$U79*SUMIFS(PrefFlows!$C:$C,PrefFlows!$A:$A,$U$1,PrefFlows!$B:$B,$B79),2)</f>
        <v>4.54</v>
      </c>
      <c r="X79" s="3">
        <f>ROUND($S79*(1-SUMIFS(PrefFlows!$C:$C,PrefFlows!$A:$A,$S$1,PrefFlows!$B:$B,$B79))+$T79*(1-SUMIFS(PrefFlows!$C:$C,PrefFlows!$A:$A,$T$1,PrefFlows!$B:$B,$B79))+$U79*(1-SUMIFS(PrefFlows!$C:$C,PrefFlows!$A:$A,$U$1,PrefFlows!$B:$B,$B79)),2)</f>
        <v>8.23</v>
      </c>
      <c r="Y79" s="4">
        <f t="shared" si="38"/>
        <v>3.84</v>
      </c>
      <c r="Z79" s="3">
        <f t="shared" si="39"/>
        <v>8.93</v>
      </c>
      <c r="AA79" s="4">
        <f t="shared" si="40"/>
        <v>0.35549999999999998</v>
      </c>
      <c r="AB79" s="5">
        <f t="shared" si="41"/>
        <v>0.30070000000000002</v>
      </c>
      <c r="AC79" s="5">
        <f t="shared" si="42"/>
        <v>-5.4800000000000001E-2</v>
      </c>
      <c r="AD79" s="3">
        <v>-8.6843021687332805E-3</v>
      </c>
      <c r="AE79" s="4">
        <f>ROUND(S79*(1-(Exhaust!$B$2+AD79)),2)</f>
        <v>0</v>
      </c>
      <c r="AF79" s="5">
        <f>ROUND(T79*(1-(Exhaust!$B$3+$AD79)),2)</f>
        <v>3.8</v>
      </c>
      <c r="AG79" s="3">
        <f>ROUND(U79*(1-(Exhaust!$B$4+$AD79)),2)</f>
        <v>3.32</v>
      </c>
      <c r="AH79" s="4">
        <f>ROUND($AE79*(SUMIFS(PrefFlows!$C:$C,PrefFlows!$A:$A,$S$1,PrefFlows!$B:$B,$B79)+$AC79)+$AF79*(SUMIFS(PrefFlows!$C:$C,PrefFlows!$A:$A,$T$1,PrefFlows!$B:$B,$B79)+$AC79)+$AG79*(SUMIFS(PrefFlows!$C:$C,PrefFlows!$A:$A,$U$1,PrefFlows!$B:$B,$B79)+$AC79),2)</f>
        <v>2.0299999999999998</v>
      </c>
      <c r="AI79" s="3">
        <f>ROUND($AE79*(1-(SUMIFS(PrefFlows!$C:$C,PrefFlows!$A:$A,$S$1,PrefFlows!$B:$B,$B79)+$AC79))+$AF79*(1-(SUMIFS(PrefFlows!$C:$C,PrefFlows!$A:$A,$T$1,PrefFlows!$B:$B,$B79)+$AC79))+$AG79*(1-(SUMIFS(PrefFlows!$C:$C,PrefFlows!$A:$A,$U$1,PrefFlows!$B:$B,$B79)+$AC79)),2)</f>
        <v>5.09</v>
      </c>
      <c r="AJ79" s="4">
        <f t="shared" si="43"/>
        <v>40.5</v>
      </c>
      <c r="AK79" s="3">
        <f t="shared" si="44"/>
        <v>53.85</v>
      </c>
      <c r="AL79" s="4">
        <f t="shared" si="45"/>
        <v>42.93</v>
      </c>
      <c r="AM79" s="3">
        <f t="shared" si="45"/>
        <v>57.07</v>
      </c>
      <c r="AN79" s="1">
        <f t="shared" si="27"/>
        <v>-7.69</v>
      </c>
      <c r="AO79" s="1">
        <f t="shared" si="28"/>
        <v>-6.89</v>
      </c>
      <c r="AP79" s="3">
        <f t="shared" si="29"/>
        <v>-7.07</v>
      </c>
      <c r="AQ79" s="1" t="b">
        <f t="shared" si="46"/>
        <v>0</v>
      </c>
      <c r="AR79" s="1" t="b">
        <f t="shared" si="46"/>
        <v>0</v>
      </c>
      <c r="AS79" s="3" t="b">
        <f t="shared" si="47"/>
        <v>0</v>
      </c>
      <c r="AT79" s="1">
        <f t="shared" si="48"/>
        <v>0.80000000000000071</v>
      </c>
      <c r="AU79" s="1">
        <f t="shared" si="48"/>
        <v>0.62000000000000011</v>
      </c>
      <c r="AV79" s="3">
        <f t="shared" si="49"/>
        <v>0.1800000000000006</v>
      </c>
      <c r="AW79" s="1">
        <f>ROUND(IF($B79="NSW",N79*Meta!$B$6,N79),1)</f>
        <v>3092</v>
      </c>
      <c r="AX79" s="3">
        <f t="shared" si="30"/>
        <v>86285.8</v>
      </c>
    </row>
    <row r="80" spans="1:50" x14ac:dyDescent="0.55000000000000004">
      <c r="A80" s="2" t="s">
        <v>90</v>
      </c>
      <c r="B80" s="3" t="s">
        <v>9</v>
      </c>
      <c r="C80" s="4">
        <v>48.16</v>
      </c>
      <c r="D80" s="5">
        <v>37.549999999999997</v>
      </c>
      <c r="E80" s="5">
        <v>0</v>
      </c>
      <c r="F80" s="5">
        <v>2.36</v>
      </c>
      <c r="G80" s="5">
        <v>0</v>
      </c>
      <c r="H80" s="5">
        <v>10.25</v>
      </c>
      <c r="I80" s="5">
        <v>1.68</v>
      </c>
      <c r="J80" s="3">
        <f t="shared" si="31"/>
        <v>4.04</v>
      </c>
      <c r="K80" s="4">
        <v>41.02</v>
      </c>
      <c r="L80" s="3">
        <v>58.98</v>
      </c>
      <c r="M80" s="4">
        <v>89731</v>
      </c>
      <c r="N80" s="5">
        <v>2196</v>
      </c>
      <c r="O80" s="3">
        <f t="shared" si="32"/>
        <v>87535</v>
      </c>
      <c r="P80" s="5">
        <f t="shared" si="33"/>
        <v>2.4473147518694765E-2</v>
      </c>
      <c r="Q80" s="4">
        <f>ROUND($C80+MIN($D80:$E80)*(1-SUMIFS(PrefFlows!$C:$C,PrefFlows!$A:$A,INDEX($D$1:$E$1,MATCH(MIN($D80:$E80),$D80:$E80,0)),PrefFlows!$B:$B,$B80)),2)</f>
        <v>48.16</v>
      </c>
      <c r="R80" s="5">
        <f>ROUND(MAX($D80:$E80)+MIN($D80:$E80)*SUMIFS(PrefFlows!$C:$C,PrefFlows!$A:$A,INDEX($D$1:$E$1,MATCH(MIN($D80:$E80),$D80:$E80,0)),PrefFlows!$B:$B,$B80),2)</f>
        <v>37.549999999999997</v>
      </c>
      <c r="S80" s="5">
        <f t="shared" si="34"/>
        <v>0</v>
      </c>
      <c r="T80" s="5">
        <f t="shared" si="35"/>
        <v>10.25</v>
      </c>
      <c r="U80" s="3">
        <f t="shared" si="36"/>
        <v>4.04</v>
      </c>
      <c r="V80" s="6">
        <f t="shared" si="37"/>
        <v>-10.61</v>
      </c>
      <c r="W80" s="4">
        <f>ROUND($S80*SUMIFS(PrefFlows!$C:$C,PrefFlows!$A:$A,$S$1,PrefFlows!$B:$B,$B80)+$T80*SUMIFS(PrefFlows!$C:$C,PrefFlows!$A:$A,$T$1,PrefFlows!$B:$B,$B80)+$U80*SUMIFS(PrefFlows!$C:$C,PrefFlows!$A:$A,$U$1,PrefFlows!$B:$B,$B80),2)</f>
        <v>3.9</v>
      </c>
      <c r="X80" s="3">
        <f>ROUND($S80*(1-SUMIFS(PrefFlows!$C:$C,PrefFlows!$A:$A,$S$1,PrefFlows!$B:$B,$B80))+$T80*(1-SUMIFS(PrefFlows!$C:$C,PrefFlows!$A:$A,$T$1,PrefFlows!$B:$B,$B80))+$U80*(1-SUMIFS(PrefFlows!$C:$C,PrefFlows!$A:$A,$U$1,PrefFlows!$B:$B,$B80)),2)</f>
        <v>10.39</v>
      </c>
      <c r="Y80" s="4">
        <f t="shared" si="38"/>
        <v>3.47</v>
      </c>
      <c r="Z80" s="3">
        <f t="shared" si="39"/>
        <v>10.82</v>
      </c>
      <c r="AA80" s="4">
        <f t="shared" si="40"/>
        <v>0.27289999999999998</v>
      </c>
      <c r="AB80" s="5">
        <f t="shared" si="41"/>
        <v>0.24279999999999999</v>
      </c>
      <c r="AC80" s="5">
        <f t="shared" si="42"/>
        <v>-3.0099999999999998E-2</v>
      </c>
      <c r="AD80" s="3">
        <v>-0.142182937661333</v>
      </c>
      <c r="AE80" s="4">
        <f>ROUND(S80*(1-(Exhaust!$B$2+AD80)),2)</f>
        <v>0</v>
      </c>
      <c r="AF80" s="5">
        <f>ROUND(T80*(1-(Exhaust!$B$3+$AD80)),2)</f>
        <v>7.61</v>
      </c>
      <c r="AG80" s="3">
        <f>ROUND(U80*(1-(Exhaust!$B$4+$AD80)),2)</f>
        <v>2.59</v>
      </c>
      <c r="AH80" s="4">
        <f>ROUND($AE80*(SUMIFS(PrefFlows!$C:$C,PrefFlows!$A:$A,$S$1,PrefFlows!$B:$B,$B80)+$AC80)+$AF80*(SUMIFS(PrefFlows!$C:$C,PrefFlows!$A:$A,$T$1,PrefFlows!$B:$B,$B80)+$AC80)+$AG80*(SUMIFS(PrefFlows!$C:$C,PrefFlows!$A:$A,$U$1,PrefFlows!$B:$B,$B80)+$AC80),2)</f>
        <v>2.37</v>
      </c>
      <c r="AI80" s="3">
        <f>ROUND($AE80*(1-(SUMIFS(PrefFlows!$C:$C,PrefFlows!$A:$A,$S$1,PrefFlows!$B:$B,$B80)+$AC80))+$AF80*(1-(SUMIFS(PrefFlows!$C:$C,PrefFlows!$A:$A,$T$1,PrefFlows!$B:$B,$B80)+$AC80))+$AG80*(1-(SUMIFS(PrefFlows!$C:$C,PrefFlows!$A:$A,$U$1,PrefFlows!$B:$B,$B80)+$AC80)),2)</f>
        <v>7.83</v>
      </c>
      <c r="AJ80" s="4">
        <f t="shared" si="43"/>
        <v>39.92</v>
      </c>
      <c r="AK80" s="3">
        <f t="shared" si="44"/>
        <v>55.99</v>
      </c>
      <c r="AL80" s="4">
        <f t="shared" si="45"/>
        <v>41.62</v>
      </c>
      <c r="AM80" s="3">
        <f t="shared" si="45"/>
        <v>58.38</v>
      </c>
      <c r="AN80" s="1">
        <f t="shared" si="27"/>
        <v>-8.98</v>
      </c>
      <c r="AO80" s="1">
        <f t="shared" si="28"/>
        <v>-7.75</v>
      </c>
      <c r="AP80" s="3">
        <f t="shared" si="29"/>
        <v>-8.3800000000000008</v>
      </c>
      <c r="AQ80" s="1" t="b">
        <f t="shared" si="46"/>
        <v>0</v>
      </c>
      <c r="AR80" s="1" t="b">
        <f t="shared" si="46"/>
        <v>0</v>
      </c>
      <c r="AS80" s="3" t="b">
        <f t="shared" si="47"/>
        <v>0</v>
      </c>
      <c r="AT80" s="1">
        <f t="shared" si="48"/>
        <v>1.2300000000000004</v>
      </c>
      <c r="AU80" s="1">
        <f t="shared" si="48"/>
        <v>0.59999999999999964</v>
      </c>
      <c r="AV80" s="3">
        <f t="shared" si="49"/>
        <v>0.63000000000000078</v>
      </c>
      <c r="AW80" s="1">
        <f>ROUND(IF($B80="NSW",N80*Meta!$B$6,N80),1)</f>
        <v>2196</v>
      </c>
      <c r="AX80" s="3">
        <f t="shared" si="30"/>
        <v>84698.6</v>
      </c>
    </row>
    <row r="81" spans="1:50" x14ac:dyDescent="0.55000000000000004">
      <c r="A81" s="2" t="s">
        <v>91</v>
      </c>
      <c r="B81" s="3" t="s">
        <v>30</v>
      </c>
      <c r="C81" s="4">
        <v>40.65</v>
      </c>
      <c r="D81" s="5">
        <v>48.14</v>
      </c>
      <c r="E81" s="5">
        <v>0</v>
      </c>
      <c r="F81" s="5">
        <v>1.25</v>
      </c>
      <c r="G81" s="5">
        <v>1.64</v>
      </c>
      <c r="H81" s="5">
        <v>6.17</v>
      </c>
      <c r="I81" s="5">
        <v>3.79</v>
      </c>
      <c r="J81" s="3">
        <f t="shared" si="31"/>
        <v>3.4</v>
      </c>
      <c r="K81" s="4">
        <v>52.58</v>
      </c>
      <c r="L81" s="3">
        <v>47.42</v>
      </c>
      <c r="M81" s="4">
        <v>68356</v>
      </c>
      <c r="N81" s="5">
        <v>2785</v>
      </c>
      <c r="O81" s="3">
        <f t="shared" si="32"/>
        <v>65571</v>
      </c>
      <c r="P81" s="5">
        <f t="shared" si="33"/>
        <v>4.0742582948095268E-2</v>
      </c>
      <c r="Q81" s="4">
        <f>ROUND($C81+MIN($D81:$E81)*(1-SUMIFS(PrefFlows!$C:$C,PrefFlows!$A:$A,INDEX($D$1:$E$1,MATCH(MIN($D81:$E81),$D81:$E81,0)),PrefFlows!$B:$B,$B81)),2)</f>
        <v>40.65</v>
      </c>
      <c r="R81" s="5">
        <f>ROUND(MAX($D81:$E81)+MIN($D81:$E81)*SUMIFS(PrefFlows!$C:$C,PrefFlows!$A:$A,INDEX($D$1:$E$1,MATCH(MIN($D81:$E81),$D81:$E81,0)),PrefFlows!$B:$B,$B81),2)</f>
        <v>48.14</v>
      </c>
      <c r="S81" s="5">
        <f t="shared" si="34"/>
        <v>1.64</v>
      </c>
      <c r="T81" s="5">
        <f t="shared" si="35"/>
        <v>6.17</v>
      </c>
      <c r="U81" s="3">
        <f t="shared" si="36"/>
        <v>3.4</v>
      </c>
      <c r="V81" s="6">
        <f t="shared" si="37"/>
        <v>7.49</v>
      </c>
      <c r="W81" s="4">
        <f>ROUND($S81*SUMIFS(PrefFlows!$C:$C,PrefFlows!$A:$A,$S$1,PrefFlows!$B:$B,$B81)+$T81*SUMIFS(PrefFlows!$C:$C,PrefFlows!$A:$A,$T$1,PrefFlows!$B:$B,$B81)+$U81*SUMIFS(PrefFlows!$C:$C,PrefFlows!$A:$A,$U$1,PrefFlows!$B:$B,$B81),2)</f>
        <v>4.07</v>
      </c>
      <c r="X81" s="3">
        <f>ROUND($S81*(1-SUMIFS(PrefFlows!$C:$C,PrefFlows!$A:$A,$S$1,PrefFlows!$B:$B,$B81))+$T81*(1-SUMIFS(PrefFlows!$C:$C,PrefFlows!$A:$A,$T$1,PrefFlows!$B:$B,$B81))+$U81*(1-SUMIFS(PrefFlows!$C:$C,PrefFlows!$A:$A,$U$1,PrefFlows!$B:$B,$B81)),2)</f>
        <v>7.14</v>
      </c>
      <c r="Y81" s="4">
        <f t="shared" si="38"/>
        <v>4.4400000000000004</v>
      </c>
      <c r="Z81" s="3">
        <f t="shared" si="39"/>
        <v>6.77</v>
      </c>
      <c r="AA81" s="4">
        <f t="shared" si="40"/>
        <v>0.36309999999999998</v>
      </c>
      <c r="AB81" s="5">
        <f t="shared" si="41"/>
        <v>0.39610000000000001</v>
      </c>
      <c r="AC81" s="5">
        <f t="shared" si="42"/>
        <v>3.3000000000000002E-2</v>
      </c>
      <c r="AD81" s="3">
        <v>8.2173816016439805E-3</v>
      </c>
      <c r="AE81" s="4">
        <f>ROUND(S81*(1-(Exhaust!$B$2+AD81)),2)</f>
        <v>0.71</v>
      </c>
      <c r="AF81" s="5">
        <f>ROUND(T81*(1-(Exhaust!$B$3+$AD81)),2)</f>
        <v>3.65</v>
      </c>
      <c r="AG81" s="3">
        <f>ROUND(U81*(1-(Exhaust!$B$4+$AD81)),2)</f>
        <v>1.67</v>
      </c>
      <c r="AH81" s="4">
        <f>ROUND($AE81*(SUMIFS(PrefFlows!$C:$C,PrefFlows!$A:$A,$S$1,PrefFlows!$B:$B,$B81)+$AC81)+$AF81*(SUMIFS(PrefFlows!$C:$C,PrefFlows!$A:$A,$T$1,PrefFlows!$B:$B,$B81)+$AC81)+$AG81*(SUMIFS(PrefFlows!$C:$C,PrefFlows!$A:$A,$U$1,PrefFlows!$B:$B,$B81)+$AC81),2)</f>
        <v>2.2999999999999998</v>
      </c>
      <c r="AI81" s="3">
        <f>ROUND($AE81*(1-(SUMIFS(PrefFlows!$C:$C,PrefFlows!$A:$A,$S$1,PrefFlows!$B:$B,$B81)+$AC81))+$AF81*(1-(SUMIFS(PrefFlows!$C:$C,PrefFlows!$A:$A,$T$1,PrefFlows!$B:$B,$B81)+$AC81))+$AG81*(1-(SUMIFS(PrefFlows!$C:$C,PrefFlows!$A:$A,$U$1,PrefFlows!$B:$B,$B81)+$AC81)),2)</f>
        <v>3.73</v>
      </c>
      <c r="AJ81" s="4">
        <f t="shared" si="43"/>
        <v>50.44</v>
      </c>
      <c r="AK81" s="3">
        <f t="shared" si="44"/>
        <v>44.38</v>
      </c>
      <c r="AL81" s="4">
        <f t="shared" si="45"/>
        <v>53.2</v>
      </c>
      <c r="AM81" s="3">
        <f t="shared" si="45"/>
        <v>46.8</v>
      </c>
      <c r="AN81" s="1">
        <f t="shared" si="27"/>
        <v>2.58</v>
      </c>
      <c r="AO81" s="1">
        <f t="shared" si="28"/>
        <v>3.32</v>
      </c>
      <c r="AP81" s="3">
        <f t="shared" si="29"/>
        <v>3.2</v>
      </c>
      <c r="AQ81" s="1" t="b">
        <f t="shared" si="46"/>
        <v>0</v>
      </c>
      <c r="AR81" s="1" t="b">
        <f t="shared" si="46"/>
        <v>0</v>
      </c>
      <c r="AS81" s="3" t="b">
        <f t="shared" si="47"/>
        <v>0</v>
      </c>
      <c r="AT81" s="1">
        <f t="shared" si="48"/>
        <v>0.73999999999999977</v>
      </c>
      <c r="AU81" s="1">
        <f t="shared" si="48"/>
        <v>0.62000000000000011</v>
      </c>
      <c r="AV81" s="3">
        <f t="shared" si="49"/>
        <v>0.11999999999999966</v>
      </c>
      <c r="AW81" s="1">
        <f>ROUND(IF($B81="NSW",N81*Meta!$B$6,N81),1)</f>
        <v>2785</v>
      </c>
      <c r="AX81" s="3">
        <f t="shared" si="30"/>
        <v>63106.9</v>
      </c>
    </row>
    <row r="82" spans="1:50" x14ac:dyDescent="0.55000000000000004">
      <c r="A82" s="2" t="s">
        <v>92</v>
      </c>
      <c r="B82" s="3" t="s">
        <v>22</v>
      </c>
      <c r="C82" s="4">
        <v>28.09</v>
      </c>
      <c r="D82" s="5">
        <v>0</v>
      </c>
      <c r="E82" s="5">
        <v>24.65</v>
      </c>
      <c r="F82" s="5">
        <v>2.0299999999999998</v>
      </c>
      <c r="G82" s="5">
        <v>1.75</v>
      </c>
      <c r="H82" s="5">
        <v>3.22</v>
      </c>
      <c r="I82" s="5">
        <v>42.01</v>
      </c>
      <c r="J82" s="3">
        <f t="shared" si="31"/>
        <v>42.29</v>
      </c>
      <c r="K82" s="4">
        <v>57.51</v>
      </c>
      <c r="L82" s="3">
        <v>42.49</v>
      </c>
      <c r="M82" s="4">
        <v>85610</v>
      </c>
      <c r="N82" s="5">
        <v>3291</v>
      </c>
      <c r="O82" s="3">
        <f t="shared" si="32"/>
        <v>82319</v>
      </c>
      <c r="P82" s="5">
        <f t="shared" si="33"/>
        <v>3.8441770821165754E-2</v>
      </c>
      <c r="Q82" s="4">
        <f>ROUND($C82+MIN($D82:$E82)*(1-SUMIFS(PrefFlows!$C:$C,PrefFlows!$A:$A,INDEX($D$1:$E$1,MATCH(MIN($D82:$E82),$D82:$E82,0)),PrefFlows!$B:$B,$B82)),2)</f>
        <v>28.09</v>
      </c>
      <c r="R82" s="5">
        <f>ROUND(MAX($D82:$E82)+MIN($D82:$E82)*SUMIFS(PrefFlows!$C:$C,PrefFlows!$A:$A,INDEX($D$1:$E$1,MATCH(MIN($D82:$E82),$D82:$E82,0)),PrefFlows!$B:$B,$B82),2)</f>
        <v>24.65</v>
      </c>
      <c r="S82" s="5">
        <f t="shared" si="34"/>
        <v>1.75</v>
      </c>
      <c r="T82" s="5">
        <f t="shared" si="35"/>
        <v>3.22</v>
      </c>
      <c r="U82" s="3">
        <f t="shared" si="36"/>
        <v>42.29</v>
      </c>
      <c r="V82" s="6">
        <f t="shared" si="37"/>
        <v>-3.44</v>
      </c>
      <c r="W82" s="4">
        <f>ROUND($S82*SUMIFS(PrefFlows!$C:$C,PrefFlows!$A:$A,$S$1,PrefFlows!$B:$B,$B82)+$T82*SUMIFS(PrefFlows!$C:$C,PrefFlows!$A:$A,$T$1,PrefFlows!$B:$B,$B82)+$U82*SUMIFS(PrefFlows!$C:$C,PrefFlows!$A:$A,$U$1,PrefFlows!$B:$B,$B82),2)</f>
        <v>23.25</v>
      </c>
      <c r="X82" s="3">
        <f>ROUND($S82*(1-SUMIFS(PrefFlows!$C:$C,PrefFlows!$A:$A,$S$1,PrefFlows!$B:$B,$B82))+$T82*(1-SUMIFS(PrefFlows!$C:$C,PrefFlows!$A:$A,$T$1,PrefFlows!$B:$B,$B82))+$U82*(1-SUMIFS(PrefFlows!$C:$C,PrefFlows!$A:$A,$U$1,PrefFlows!$B:$B,$B82)),2)</f>
        <v>24.01</v>
      </c>
      <c r="Y82" s="4">
        <f t="shared" si="38"/>
        <v>32.86</v>
      </c>
      <c r="Z82" s="3">
        <f t="shared" si="39"/>
        <v>14.4</v>
      </c>
      <c r="AA82" s="4">
        <f t="shared" si="40"/>
        <v>0.49199999999999999</v>
      </c>
      <c r="AB82" s="5">
        <f t="shared" si="41"/>
        <v>0.69530000000000003</v>
      </c>
      <c r="AC82" s="5">
        <f t="shared" si="42"/>
        <v>0.20330000000000001</v>
      </c>
      <c r="AD82" s="3">
        <v>6.04942774804531E-2</v>
      </c>
      <c r="AE82" s="4">
        <f>ROUND(S82*(1-(Exhaust!$B$2+AD82)),2)</f>
        <v>0.66</v>
      </c>
      <c r="AF82" s="5">
        <f>ROUND(T82*(1-(Exhaust!$B$3+$AD82)),2)</f>
        <v>1.74</v>
      </c>
      <c r="AG82" s="3">
        <f>ROUND(U82*(1-(Exhaust!$B$4+$AD82)),2)</f>
        <v>18.59</v>
      </c>
      <c r="AH82" s="4">
        <f>ROUND($AE82*(SUMIFS(PrefFlows!$C:$C,PrefFlows!$A:$A,$S$1,PrefFlows!$B:$B,$B82)+$AC82)+$AF82*(SUMIFS(PrefFlows!$C:$C,PrefFlows!$A:$A,$T$1,PrefFlows!$B:$B,$B82)+$AC82)+$AG82*(SUMIFS(PrefFlows!$C:$C,PrefFlows!$A:$A,$U$1,PrefFlows!$B:$B,$B82)+$AC82),2)</f>
        <v>14.51</v>
      </c>
      <c r="AI82" s="3">
        <f>ROUND($AE82*(1-(SUMIFS(PrefFlows!$C:$C,PrefFlows!$A:$A,$S$1,PrefFlows!$B:$B,$B82)+$AC82))+$AF82*(1-(SUMIFS(PrefFlows!$C:$C,PrefFlows!$A:$A,$T$1,PrefFlows!$B:$B,$B82)+$AC82))+$AG82*(1-(SUMIFS(PrefFlows!$C:$C,PrefFlows!$A:$A,$U$1,PrefFlows!$B:$B,$B82)+$AC82)),2)</f>
        <v>6.48</v>
      </c>
      <c r="AJ82" s="4">
        <f t="shared" si="43"/>
        <v>39.159999999999997</v>
      </c>
      <c r="AK82" s="3">
        <f t="shared" si="44"/>
        <v>34.57</v>
      </c>
      <c r="AL82" s="4">
        <f t="shared" si="45"/>
        <v>53.11</v>
      </c>
      <c r="AM82" s="3">
        <f t="shared" si="45"/>
        <v>46.89</v>
      </c>
      <c r="AN82" s="1">
        <f t="shared" si="27"/>
        <v>7.51</v>
      </c>
      <c r="AO82" s="1">
        <f t="shared" si="28"/>
        <v>3.98</v>
      </c>
      <c r="AP82" s="3">
        <f t="shared" si="29"/>
        <v>3.11</v>
      </c>
      <c r="AQ82" s="1" t="b">
        <f t="shared" si="46"/>
        <v>0</v>
      </c>
      <c r="AR82" s="1" t="b">
        <f t="shared" si="46"/>
        <v>0</v>
      </c>
      <c r="AS82" s="3" t="b">
        <f t="shared" si="47"/>
        <v>0</v>
      </c>
      <c r="AT82" s="1">
        <f t="shared" si="48"/>
        <v>-3.53</v>
      </c>
      <c r="AU82" s="1">
        <f t="shared" si="48"/>
        <v>-4.4000000000000004</v>
      </c>
      <c r="AV82" s="3">
        <f t="shared" si="49"/>
        <v>0.87000000000000011</v>
      </c>
      <c r="AW82" s="1">
        <f>ROUND(IF($B82="NSW",N82*Meta!$B$6,N82),1)</f>
        <v>3291</v>
      </c>
      <c r="AX82" s="3">
        <f t="shared" si="30"/>
        <v>61550.6</v>
      </c>
    </row>
    <row r="83" spans="1:50" x14ac:dyDescent="0.55000000000000004">
      <c r="A83" s="2" t="s">
        <v>93</v>
      </c>
      <c r="B83" s="3" t="s">
        <v>12</v>
      </c>
      <c r="C83" s="4">
        <v>52.85</v>
      </c>
      <c r="D83" s="5">
        <v>33.9</v>
      </c>
      <c r="E83" s="5">
        <v>0</v>
      </c>
      <c r="F83" s="5">
        <v>0</v>
      </c>
      <c r="G83" s="5">
        <v>0</v>
      </c>
      <c r="H83" s="5">
        <v>10.37</v>
      </c>
      <c r="I83" s="5">
        <v>2.88</v>
      </c>
      <c r="J83" s="3">
        <f t="shared" si="31"/>
        <v>2.88</v>
      </c>
      <c r="K83" s="4">
        <v>36.71</v>
      </c>
      <c r="L83" s="3">
        <v>63.29</v>
      </c>
      <c r="M83" s="4">
        <v>91610</v>
      </c>
      <c r="N83" s="5">
        <v>4884</v>
      </c>
      <c r="O83" s="3">
        <f t="shared" si="32"/>
        <v>86726</v>
      </c>
      <c r="P83" s="5">
        <f t="shared" si="33"/>
        <v>5.3312957100753192E-2</v>
      </c>
      <c r="Q83" s="4">
        <f>ROUND($C83+MIN($D83:$E83)*(1-SUMIFS(PrefFlows!$C:$C,PrefFlows!$A:$A,INDEX($D$1:$E$1,MATCH(MIN($D83:$E83),$D83:$E83,0)),PrefFlows!$B:$B,$B83)),2)</f>
        <v>52.85</v>
      </c>
      <c r="R83" s="5">
        <f>ROUND(MAX($D83:$E83)+MIN($D83:$E83)*SUMIFS(PrefFlows!$C:$C,PrefFlows!$A:$A,INDEX($D$1:$E$1,MATCH(MIN($D83:$E83),$D83:$E83,0)),PrefFlows!$B:$B,$B83),2)</f>
        <v>33.9</v>
      </c>
      <c r="S83" s="5">
        <f t="shared" si="34"/>
        <v>0</v>
      </c>
      <c r="T83" s="5">
        <f t="shared" si="35"/>
        <v>10.37</v>
      </c>
      <c r="U83" s="3">
        <f t="shared" si="36"/>
        <v>2.88</v>
      </c>
      <c r="V83" s="6">
        <f t="shared" si="37"/>
        <v>-18.95</v>
      </c>
      <c r="W83" s="4">
        <f>ROUND($S83*SUMIFS(PrefFlows!$C:$C,PrefFlows!$A:$A,$S$1,PrefFlows!$B:$B,$B83)+$T83*SUMIFS(PrefFlows!$C:$C,PrefFlows!$A:$A,$T$1,PrefFlows!$B:$B,$B83)+$U83*SUMIFS(PrefFlows!$C:$C,PrefFlows!$A:$A,$U$1,PrefFlows!$B:$B,$B83),2)</f>
        <v>3.52</v>
      </c>
      <c r="X83" s="3">
        <f>ROUND($S83*(1-SUMIFS(PrefFlows!$C:$C,PrefFlows!$A:$A,$S$1,PrefFlows!$B:$B,$B83))+$T83*(1-SUMIFS(PrefFlows!$C:$C,PrefFlows!$A:$A,$T$1,PrefFlows!$B:$B,$B83))+$U83*(1-SUMIFS(PrefFlows!$C:$C,PrefFlows!$A:$A,$U$1,PrefFlows!$B:$B,$B83)),2)</f>
        <v>9.73</v>
      </c>
      <c r="Y83" s="4">
        <f t="shared" si="38"/>
        <v>2.81</v>
      </c>
      <c r="Z83" s="3">
        <f t="shared" si="39"/>
        <v>10.44</v>
      </c>
      <c r="AA83" s="4">
        <f t="shared" si="40"/>
        <v>0.26569999999999999</v>
      </c>
      <c r="AB83" s="5">
        <f t="shared" si="41"/>
        <v>0.21210000000000001</v>
      </c>
      <c r="AC83" s="5">
        <f t="shared" si="42"/>
        <v>-5.3600000000000002E-2</v>
      </c>
      <c r="AD83" s="3">
        <v>3.8200936074153202E-2</v>
      </c>
      <c r="AE83" s="4">
        <f>ROUND(S83*(1-(Exhaust!$B$2+AD83)),2)</f>
        <v>0</v>
      </c>
      <c r="AF83" s="5">
        <f>ROUND(T83*(1-(Exhaust!$B$3+$AD83)),2)</f>
        <v>5.83</v>
      </c>
      <c r="AG83" s="3">
        <f>ROUND(U83*(1-(Exhaust!$B$4+$AD83)),2)</f>
        <v>1.33</v>
      </c>
      <c r="AH83" s="4">
        <f>ROUND($AE83*(SUMIFS(PrefFlows!$C:$C,PrefFlows!$A:$A,$S$1,PrefFlows!$B:$B,$B83)+$AC83)+$AF83*(SUMIFS(PrefFlows!$C:$C,PrefFlows!$A:$A,$T$1,PrefFlows!$B:$B,$B83)+$AC83)+$AG83*(SUMIFS(PrefFlows!$C:$C,PrefFlows!$A:$A,$U$1,PrefFlows!$B:$B,$B83)+$AC83),2)</f>
        <v>1.44</v>
      </c>
      <c r="AI83" s="3">
        <f>ROUND($AE83*(1-(SUMIFS(PrefFlows!$C:$C,PrefFlows!$A:$A,$S$1,PrefFlows!$B:$B,$B83)+$AC83))+$AF83*(1-(SUMIFS(PrefFlows!$C:$C,PrefFlows!$A:$A,$T$1,PrefFlows!$B:$B,$B83)+$AC83))+$AG83*(1-(SUMIFS(PrefFlows!$C:$C,PrefFlows!$A:$A,$U$1,PrefFlows!$B:$B,$B83)+$AC83)),2)</f>
        <v>5.72</v>
      </c>
      <c r="AJ83" s="4">
        <f t="shared" si="43"/>
        <v>35.340000000000003</v>
      </c>
      <c r="AK83" s="3">
        <f t="shared" si="44"/>
        <v>58.57</v>
      </c>
      <c r="AL83" s="4">
        <f t="shared" si="45"/>
        <v>37.630000000000003</v>
      </c>
      <c r="AM83" s="3">
        <f t="shared" si="45"/>
        <v>62.37</v>
      </c>
      <c r="AN83" s="1">
        <f t="shared" si="27"/>
        <v>-13.29</v>
      </c>
      <c r="AO83" s="1">
        <f t="shared" si="28"/>
        <v>-12.24</v>
      </c>
      <c r="AP83" s="3">
        <f t="shared" si="29"/>
        <v>-12.37</v>
      </c>
      <c r="AQ83" s="1" t="b">
        <f t="shared" si="46"/>
        <v>0</v>
      </c>
      <c r="AR83" s="1" t="b">
        <f t="shared" si="46"/>
        <v>0</v>
      </c>
      <c r="AS83" s="3" t="b">
        <f t="shared" si="47"/>
        <v>0</v>
      </c>
      <c r="AT83" s="1">
        <f t="shared" si="48"/>
        <v>1.0499999999999989</v>
      </c>
      <c r="AU83" s="1">
        <f t="shared" si="48"/>
        <v>0.91999999999999993</v>
      </c>
      <c r="AV83" s="3">
        <f t="shared" si="49"/>
        <v>0.12999999999999901</v>
      </c>
      <c r="AW83" s="1">
        <f>ROUND(IF($B83="NSW",N83*Meta!$B$6,N83),1)</f>
        <v>3208.8</v>
      </c>
      <c r="AX83" s="3">
        <f t="shared" si="30"/>
        <v>84081.7</v>
      </c>
    </row>
    <row r="84" spans="1:50" x14ac:dyDescent="0.55000000000000004">
      <c r="A84" s="2" t="s">
        <v>94</v>
      </c>
      <c r="B84" s="3" t="s">
        <v>7</v>
      </c>
      <c r="C84" s="4">
        <v>46.65</v>
      </c>
      <c r="D84" s="5">
        <v>39.74</v>
      </c>
      <c r="E84" s="5">
        <v>0</v>
      </c>
      <c r="F84" s="5">
        <v>5.71</v>
      </c>
      <c r="G84" s="5">
        <v>0</v>
      </c>
      <c r="H84" s="5">
        <v>5.67</v>
      </c>
      <c r="I84" s="5">
        <v>2.23</v>
      </c>
      <c r="J84" s="3">
        <f t="shared" si="31"/>
        <v>7.94</v>
      </c>
      <c r="K84" s="4">
        <v>45.58</v>
      </c>
      <c r="L84" s="3">
        <v>54.42</v>
      </c>
      <c r="M84" s="4">
        <v>93996</v>
      </c>
      <c r="N84" s="5">
        <v>3505</v>
      </c>
      <c r="O84" s="3">
        <f t="shared" si="32"/>
        <v>90491</v>
      </c>
      <c r="P84" s="5">
        <f t="shared" si="33"/>
        <v>3.7288820800885143E-2</v>
      </c>
      <c r="Q84" s="4">
        <f>ROUND($C84+MIN($D84:$E84)*(1-SUMIFS(PrefFlows!$C:$C,PrefFlows!$A:$A,INDEX($D$1:$E$1,MATCH(MIN($D84:$E84),$D84:$E84,0)),PrefFlows!$B:$B,$B84)),2)</f>
        <v>46.65</v>
      </c>
      <c r="R84" s="5">
        <f>ROUND(MAX($D84:$E84)+MIN($D84:$E84)*SUMIFS(PrefFlows!$C:$C,PrefFlows!$A:$A,INDEX($D$1:$E$1,MATCH(MIN($D84:$E84),$D84:$E84,0)),PrefFlows!$B:$B,$B84),2)</f>
        <v>39.74</v>
      </c>
      <c r="S84" s="5">
        <f t="shared" si="34"/>
        <v>0</v>
      </c>
      <c r="T84" s="5">
        <f t="shared" si="35"/>
        <v>5.67</v>
      </c>
      <c r="U84" s="3">
        <f t="shared" si="36"/>
        <v>7.94</v>
      </c>
      <c r="V84" s="6">
        <f t="shared" si="37"/>
        <v>-6.91</v>
      </c>
      <c r="W84" s="4">
        <f>ROUND($S84*SUMIFS(PrefFlows!$C:$C,PrefFlows!$A:$A,$S$1,PrefFlows!$B:$B,$B84)+$T84*SUMIFS(PrefFlows!$C:$C,PrefFlows!$A:$A,$T$1,PrefFlows!$B:$B,$B84)+$U84*SUMIFS(PrefFlows!$C:$C,PrefFlows!$A:$A,$U$1,PrefFlows!$B:$B,$B84),2)</f>
        <v>5.41</v>
      </c>
      <c r="X84" s="3">
        <f>ROUND($S84*(1-SUMIFS(PrefFlows!$C:$C,PrefFlows!$A:$A,$S$1,PrefFlows!$B:$B,$B84))+$T84*(1-SUMIFS(PrefFlows!$C:$C,PrefFlows!$A:$A,$T$1,PrefFlows!$B:$B,$B84))+$U84*(1-SUMIFS(PrefFlows!$C:$C,PrefFlows!$A:$A,$U$1,PrefFlows!$B:$B,$B84)),2)</f>
        <v>8.1999999999999993</v>
      </c>
      <c r="Y84" s="4">
        <f t="shared" si="38"/>
        <v>5.84</v>
      </c>
      <c r="Z84" s="3">
        <f t="shared" si="39"/>
        <v>7.77</v>
      </c>
      <c r="AA84" s="4">
        <f t="shared" si="40"/>
        <v>0.39750000000000002</v>
      </c>
      <c r="AB84" s="5">
        <f t="shared" si="41"/>
        <v>0.42909999999999998</v>
      </c>
      <c r="AC84" s="5">
        <f t="shared" si="42"/>
        <v>3.1600000000000003E-2</v>
      </c>
      <c r="AD84" s="3">
        <v>6.4570666418545003E-2</v>
      </c>
      <c r="AE84" s="4">
        <f>ROUND(S84*(1-(Exhaust!$B$2+AD84)),2)</f>
        <v>0</v>
      </c>
      <c r="AF84" s="5">
        <f>ROUND(T84*(1-(Exhaust!$B$3+$AD84)),2)</f>
        <v>3.04</v>
      </c>
      <c r="AG84" s="3">
        <f>ROUND(U84*(1-(Exhaust!$B$4+$AD84)),2)</f>
        <v>3.46</v>
      </c>
      <c r="AH84" s="4">
        <f>ROUND($AE84*(SUMIFS(PrefFlows!$C:$C,PrefFlows!$A:$A,$S$1,PrefFlows!$B:$B,$B84)+$AC84)+$AF84*(SUMIFS(PrefFlows!$C:$C,PrefFlows!$A:$A,$T$1,PrefFlows!$B:$B,$B84)+$AC84)+$AG84*(SUMIFS(PrefFlows!$C:$C,PrefFlows!$A:$A,$U$1,PrefFlows!$B:$B,$B84)+$AC84),2)</f>
        <v>2.69</v>
      </c>
      <c r="AI84" s="3">
        <f>ROUND($AE84*(1-(SUMIFS(PrefFlows!$C:$C,PrefFlows!$A:$A,$S$1,PrefFlows!$B:$B,$B84)+$AC84))+$AF84*(1-(SUMIFS(PrefFlows!$C:$C,PrefFlows!$A:$A,$T$1,PrefFlows!$B:$B,$B84)+$AC84))+$AG84*(1-(SUMIFS(PrefFlows!$C:$C,PrefFlows!$A:$A,$U$1,PrefFlows!$B:$B,$B84)+$AC84)),2)</f>
        <v>3.81</v>
      </c>
      <c r="AJ84" s="4">
        <f t="shared" si="43"/>
        <v>42.43</v>
      </c>
      <c r="AK84" s="3">
        <f t="shared" si="44"/>
        <v>50.46</v>
      </c>
      <c r="AL84" s="4">
        <f t="shared" si="45"/>
        <v>45.68</v>
      </c>
      <c r="AM84" s="3">
        <f t="shared" si="45"/>
        <v>54.32</v>
      </c>
      <c r="AN84" s="1">
        <f t="shared" si="27"/>
        <v>-4.42</v>
      </c>
      <c r="AO84" s="1">
        <f t="shared" si="28"/>
        <v>-4.2300000000000004</v>
      </c>
      <c r="AP84" s="3">
        <f t="shared" si="29"/>
        <v>-4.32</v>
      </c>
      <c r="AQ84" s="1" t="b">
        <f t="shared" si="46"/>
        <v>0</v>
      </c>
      <c r="AR84" s="1" t="b">
        <f t="shared" si="46"/>
        <v>0</v>
      </c>
      <c r="AS84" s="3" t="b">
        <f t="shared" si="47"/>
        <v>0</v>
      </c>
      <c r="AT84" s="1">
        <f t="shared" si="48"/>
        <v>0.1899999999999995</v>
      </c>
      <c r="AU84" s="1">
        <f t="shared" si="48"/>
        <v>9.9999999999999645E-2</v>
      </c>
      <c r="AV84" s="3">
        <f t="shared" si="49"/>
        <v>8.9999999999999858E-2</v>
      </c>
      <c r="AW84" s="1">
        <f>ROUND(IF($B84="NSW",N84*Meta!$B$6,N84),1)</f>
        <v>3505</v>
      </c>
      <c r="AX84" s="3">
        <f t="shared" si="30"/>
        <v>85206.8</v>
      </c>
    </row>
    <row r="85" spans="1:50" x14ac:dyDescent="0.55000000000000004">
      <c r="A85" s="2" t="s">
        <v>95</v>
      </c>
      <c r="B85" s="3" t="s">
        <v>9</v>
      </c>
      <c r="C85" s="4">
        <v>30.03</v>
      </c>
      <c r="D85" s="5">
        <v>55.14</v>
      </c>
      <c r="E85" s="5">
        <v>0</v>
      </c>
      <c r="F85" s="5">
        <v>1.54</v>
      </c>
      <c r="G85" s="5">
        <v>0</v>
      </c>
      <c r="H85" s="5">
        <v>11.82</v>
      </c>
      <c r="I85" s="5">
        <v>1.47</v>
      </c>
      <c r="J85" s="3">
        <f t="shared" si="31"/>
        <v>3.01</v>
      </c>
      <c r="K85" s="4">
        <v>59.53</v>
      </c>
      <c r="L85" s="3">
        <v>40.47</v>
      </c>
      <c r="M85" s="4">
        <v>83684</v>
      </c>
      <c r="N85" s="5">
        <v>1756</v>
      </c>
      <c r="O85" s="3">
        <f t="shared" si="32"/>
        <v>81928</v>
      </c>
      <c r="P85" s="5">
        <f t="shared" si="33"/>
        <v>2.0983700587926007E-2</v>
      </c>
      <c r="Q85" s="4">
        <f>ROUND($C85+MIN($D85:$E85)*(1-SUMIFS(PrefFlows!$C:$C,PrefFlows!$A:$A,INDEX($D$1:$E$1,MATCH(MIN($D85:$E85),$D85:$E85,0)),PrefFlows!$B:$B,$B85)),2)</f>
        <v>30.03</v>
      </c>
      <c r="R85" s="5">
        <f>ROUND(MAX($D85:$E85)+MIN($D85:$E85)*SUMIFS(PrefFlows!$C:$C,PrefFlows!$A:$A,INDEX($D$1:$E$1,MATCH(MIN($D85:$E85),$D85:$E85,0)),PrefFlows!$B:$B,$B85),2)</f>
        <v>55.14</v>
      </c>
      <c r="S85" s="5">
        <f t="shared" si="34"/>
        <v>0</v>
      </c>
      <c r="T85" s="5">
        <f t="shared" si="35"/>
        <v>11.82</v>
      </c>
      <c r="U85" s="3">
        <f t="shared" si="36"/>
        <v>3.01</v>
      </c>
      <c r="V85" s="6">
        <f t="shared" si="37"/>
        <v>25.11</v>
      </c>
      <c r="W85" s="4">
        <f>ROUND($S85*SUMIFS(PrefFlows!$C:$C,PrefFlows!$A:$A,$S$1,PrefFlows!$B:$B,$B85)+$T85*SUMIFS(PrefFlows!$C:$C,PrefFlows!$A:$A,$T$1,PrefFlows!$B:$B,$B85)+$U85*SUMIFS(PrefFlows!$C:$C,PrefFlows!$A:$A,$U$1,PrefFlows!$B:$B,$B85),2)</f>
        <v>3.62</v>
      </c>
      <c r="X85" s="3">
        <f>ROUND($S85*(1-SUMIFS(PrefFlows!$C:$C,PrefFlows!$A:$A,$S$1,PrefFlows!$B:$B,$B85))+$T85*(1-SUMIFS(PrefFlows!$C:$C,PrefFlows!$A:$A,$T$1,PrefFlows!$B:$B,$B85))+$U85*(1-SUMIFS(PrefFlows!$C:$C,PrefFlows!$A:$A,$U$1,PrefFlows!$B:$B,$B85)),2)</f>
        <v>11.21</v>
      </c>
      <c r="Y85" s="4">
        <f t="shared" si="38"/>
        <v>4.3899999999999997</v>
      </c>
      <c r="Z85" s="3">
        <f t="shared" si="39"/>
        <v>10.44</v>
      </c>
      <c r="AA85" s="4">
        <f t="shared" si="40"/>
        <v>0.24410000000000001</v>
      </c>
      <c r="AB85" s="5">
        <f t="shared" si="41"/>
        <v>0.29599999999999999</v>
      </c>
      <c r="AC85" s="5">
        <f t="shared" si="42"/>
        <v>5.1900000000000002E-2</v>
      </c>
      <c r="AD85" s="3">
        <v>-0.13310525452060701</v>
      </c>
      <c r="AE85" s="4">
        <f>ROUND(S85*(1-(Exhaust!$B$2+AD85)),2)</f>
        <v>0</v>
      </c>
      <c r="AF85" s="5">
        <f>ROUND(T85*(1-(Exhaust!$B$3+$AD85)),2)</f>
        <v>8.67</v>
      </c>
      <c r="AG85" s="3">
        <f>ROUND(U85*(1-(Exhaust!$B$4+$AD85)),2)</f>
        <v>1.91</v>
      </c>
      <c r="AH85" s="4">
        <f>ROUND($AE85*(SUMIFS(PrefFlows!$C:$C,PrefFlows!$A:$A,$S$1,PrefFlows!$B:$B,$B85)+$AC85)+$AF85*(SUMIFS(PrefFlows!$C:$C,PrefFlows!$A:$A,$T$1,PrefFlows!$B:$B,$B85)+$AC85)+$AG85*(SUMIFS(PrefFlows!$C:$C,PrefFlows!$A:$A,$U$1,PrefFlows!$B:$B,$B85)+$AC85),2)</f>
        <v>3.05</v>
      </c>
      <c r="AI85" s="3">
        <f>ROUND($AE85*(1-(SUMIFS(PrefFlows!$C:$C,PrefFlows!$A:$A,$S$1,PrefFlows!$B:$B,$B85)+$AC85))+$AF85*(1-(SUMIFS(PrefFlows!$C:$C,PrefFlows!$A:$A,$T$1,PrefFlows!$B:$B,$B85)+$AC85))+$AG85*(1-(SUMIFS(PrefFlows!$C:$C,PrefFlows!$A:$A,$U$1,PrefFlows!$B:$B,$B85)+$AC85)),2)</f>
        <v>7.53</v>
      </c>
      <c r="AJ85" s="4">
        <f t="shared" si="43"/>
        <v>58.19</v>
      </c>
      <c r="AK85" s="3">
        <f t="shared" si="44"/>
        <v>37.56</v>
      </c>
      <c r="AL85" s="4">
        <f t="shared" si="45"/>
        <v>60.77</v>
      </c>
      <c r="AM85" s="3">
        <f t="shared" si="45"/>
        <v>39.229999999999997</v>
      </c>
      <c r="AN85" s="1">
        <f t="shared" si="27"/>
        <v>9.5299999999999994</v>
      </c>
      <c r="AO85" s="1">
        <f t="shared" si="28"/>
        <v>11.82</v>
      </c>
      <c r="AP85" s="3">
        <f t="shared" si="29"/>
        <v>10.77</v>
      </c>
      <c r="AQ85" s="1" t="b">
        <f t="shared" si="46"/>
        <v>0</v>
      </c>
      <c r="AR85" s="1" t="b">
        <f t="shared" si="46"/>
        <v>0</v>
      </c>
      <c r="AS85" s="3" t="b">
        <f t="shared" si="47"/>
        <v>0</v>
      </c>
      <c r="AT85" s="1">
        <f t="shared" si="48"/>
        <v>2.2900000000000009</v>
      </c>
      <c r="AU85" s="1">
        <f t="shared" si="48"/>
        <v>1.2400000000000002</v>
      </c>
      <c r="AV85" s="3">
        <f t="shared" si="49"/>
        <v>1.0500000000000007</v>
      </c>
      <c r="AW85" s="1">
        <f>ROUND(IF($B85="NSW",N85*Meta!$B$6,N85),1)</f>
        <v>1756</v>
      </c>
      <c r="AX85" s="3">
        <f t="shared" si="30"/>
        <v>79039.8</v>
      </c>
    </row>
    <row r="86" spans="1:50" x14ac:dyDescent="0.55000000000000004">
      <c r="A86" s="2" t="s">
        <v>96</v>
      </c>
      <c r="B86" s="3" t="s">
        <v>9</v>
      </c>
      <c r="C86" s="4">
        <v>40.39</v>
      </c>
      <c r="D86" s="5">
        <v>46.48</v>
      </c>
      <c r="E86" s="5">
        <v>0</v>
      </c>
      <c r="F86" s="5">
        <v>2.84</v>
      </c>
      <c r="G86" s="5">
        <v>0</v>
      </c>
      <c r="H86" s="5">
        <v>8.84</v>
      </c>
      <c r="I86" s="5">
        <v>1.45</v>
      </c>
      <c r="J86" s="3">
        <f t="shared" si="31"/>
        <v>4.29</v>
      </c>
      <c r="K86" s="4">
        <v>50.51</v>
      </c>
      <c r="L86" s="3">
        <v>49.49</v>
      </c>
      <c r="M86" s="4">
        <v>88179</v>
      </c>
      <c r="N86" s="5">
        <v>2896</v>
      </c>
      <c r="O86" s="3">
        <f t="shared" si="32"/>
        <v>85283</v>
      </c>
      <c r="P86" s="5">
        <f t="shared" si="33"/>
        <v>3.2842286712255753E-2</v>
      </c>
      <c r="Q86" s="4">
        <f>ROUND($C86+MIN($D86:$E86)*(1-SUMIFS(PrefFlows!$C:$C,PrefFlows!$A:$A,INDEX($D$1:$E$1,MATCH(MIN($D86:$E86),$D86:$E86,0)),PrefFlows!$B:$B,$B86)),2)</f>
        <v>40.39</v>
      </c>
      <c r="R86" s="5">
        <f>ROUND(MAX($D86:$E86)+MIN($D86:$E86)*SUMIFS(PrefFlows!$C:$C,PrefFlows!$A:$A,INDEX($D$1:$E$1,MATCH(MIN($D86:$E86),$D86:$E86,0)),PrefFlows!$B:$B,$B86),2)</f>
        <v>46.48</v>
      </c>
      <c r="S86" s="5">
        <f t="shared" si="34"/>
        <v>0</v>
      </c>
      <c r="T86" s="5">
        <f t="shared" si="35"/>
        <v>8.84</v>
      </c>
      <c r="U86" s="3">
        <f t="shared" si="36"/>
        <v>4.29</v>
      </c>
      <c r="V86" s="6">
        <f t="shared" si="37"/>
        <v>6.09</v>
      </c>
      <c r="W86" s="4">
        <f>ROUND($S86*SUMIFS(PrefFlows!$C:$C,PrefFlows!$A:$A,$S$1,PrefFlows!$B:$B,$B86)+$T86*SUMIFS(PrefFlows!$C:$C,PrefFlows!$A:$A,$T$1,PrefFlows!$B:$B,$B86)+$U86*SUMIFS(PrefFlows!$C:$C,PrefFlows!$A:$A,$U$1,PrefFlows!$B:$B,$B86),2)</f>
        <v>3.8</v>
      </c>
      <c r="X86" s="3">
        <f>ROUND($S86*(1-SUMIFS(PrefFlows!$C:$C,PrefFlows!$A:$A,$S$1,PrefFlows!$B:$B,$B86))+$T86*(1-SUMIFS(PrefFlows!$C:$C,PrefFlows!$A:$A,$T$1,PrefFlows!$B:$B,$B86))+$U86*(1-SUMIFS(PrefFlows!$C:$C,PrefFlows!$A:$A,$U$1,PrefFlows!$B:$B,$B86)),2)</f>
        <v>9.33</v>
      </c>
      <c r="Y86" s="4">
        <f t="shared" si="38"/>
        <v>4.03</v>
      </c>
      <c r="Z86" s="3">
        <f t="shared" si="39"/>
        <v>9.1</v>
      </c>
      <c r="AA86" s="4">
        <f t="shared" si="40"/>
        <v>0.28939999999999999</v>
      </c>
      <c r="AB86" s="5">
        <f t="shared" si="41"/>
        <v>0.30690000000000001</v>
      </c>
      <c r="AC86" s="5">
        <f t="shared" si="42"/>
        <v>1.7500000000000002E-2</v>
      </c>
      <c r="AD86" s="3">
        <v>-1.8631806505345301E-2</v>
      </c>
      <c r="AE86" s="4">
        <f>ROUND(S86*(1-(Exhaust!$B$2+AD86)),2)</f>
        <v>0</v>
      </c>
      <c r="AF86" s="5">
        <f>ROUND(T86*(1-(Exhaust!$B$3+$AD86)),2)</f>
        <v>5.47</v>
      </c>
      <c r="AG86" s="3">
        <f>ROUND(U86*(1-(Exhaust!$B$4+$AD86)),2)</f>
        <v>2.2200000000000002</v>
      </c>
      <c r="AH86" s="4">
        <f>ROUND($AE86*(SUMIFS(PrefFlows!$C:$C,PrefFlows!$A:$A,$S$1,PrefFlows!$B:$B,$B86)+$AC86)+$AF86*(SUMIFS(PrefFlows!$C:$C,PrefFlows!$A:$A,$T$1,PrefFlows!$B:$B,$B86)+$AC86)+$AG86*(SUMIFS(PrefFlows!$C:$C,PrefFlows!$A:$A,$U$1,PrefFlows!$B:$B,$B86)+$AC86),2)</f>
        <v>2.25</v>
      </c>
      <c r="AI86" s="3">
        <f>ROUND($AE86*(1-(SUMIFS(PrefFlows!$C:$C,PrefFlows!$A:$A,$S$1,PrefFlows!$B:$B,$B86)+$AC86))+$AF86*(1-(SUMIFS(PrefFlows!$C:$C,PrefFlows!$A:$A,$T$1,PrefFlows!$B:$B,$B86)+$AC86))+$AG86*(1-(SUMIFS(PrefFlows!$C:$C,PrefFlows!$A:$A,$U$1,PrefFlows!$B:$B,$B86)+$AC86)),2)</f>
        <v>5.44</v>
      </c>
      <c r="AJ86" s="4">
        <f t="shared" si="43"/>
        <v>48.73</v>
      </c>
      <c r="AK86" s="3">
        <f t="shared" si="44"/>
        <v>45.83</v>
      </c>
      <c r="AL86" s="4">
        <f t="shared" si="45"/>
        <v>51.53</v>
      </c>
      <c r="AM86" s="3">
        <f t="shared" si="45"/>
        <v>48.47</v>
      </c>
      <c r="AN86" s="1">
        <f t="shared" si="27"/>
        <v>0.51</v>
      </c>
      <c r="AO86" s="1">
        <f t="shared" si="28"/>
        <v>1.84</v>
      </c>
      <c r="AP86" s="3">
        <f t="shared" si="29"/>
        <v>1.53</v>
      </c>
      <c r="AQ86" s="1" t="b">
        <f t="shared" si="46"/>
        <v>0</v>
      </c>
      <c r="AR86" s="1" t="b">
        <f t="shared" si="46"/>
        <v>0</v>
      </c>
      <c r="AS86" s="3" t="b">
        <f t="shared" si="47"/>
        <v>0</v>
      </c>
      <c r="AT86" s="1">
        <f t="shared" si="48"/>
        <v>1.33</v>
      </c>
      <c r="AU86" s="1">
        <f t="shared" si="48"/>
        <v>1.02</v>
      </c>
      <c r="AV86" s="3">
        <f t="shared" si="49"/>
        <v>0.31000000000000005</v>
      </c>
      <c r="AW86" s="1">
        <f>ROUND(IF($B86="NSW",N86*Meta!$B$6,N86),1)</f>
        <v>2896</v>
      </c>
      <c r="AX86" s="3">
        <f t="shared" si="30"/>
        <v>81610.600000000006</v>
      </c>
    </row>
    <row r="87" spans="1:50" x14ac:dyDescent="0.55000000000000004">
      <c r="A87" s="2" t="s">
        <v>97</v>
      </c>
      <c r="B87" s="3" t="s">
        <v>9</v>
      </c>
      <c r="C87" s="4">
        <v>59.89</v>
      </c>
      <c r="D87" s="5">
        <v>29.77</v>
      </c>
      <c r="E87" s="5">
        <v>0</v>
      </c>
      <c r="F87" s="5">
        <v>4.4000000000000004</v>
      </c>
      <c r="G87" s="5">
        <v>0</v>
      </c>
      <c r="H87" s="5">
        <v>4.0199999999999996</v>
      </c>
      <c r="I87" s="5">
        <v>1.92</v>
      </c>
      <c r="J87" s="3">
        <f t="shared" si="31"/>
        <v>6.32</v>
      </c>
      <c r="K87" s="4">
        <v>34.47</v>
      </c>
      <c r="L87" s="3">
        <v>65.53</v>
      </c>
      <c r="M87" s="4">
        <v>98983</v>
      </c>
      <c r="N87" s="5">
        <v>3457</v>
      </c>
      <c r="O87" s="3">
        <f t="shared" si="32"/>
        <v>95526</v>
      </c>
      <c r="P87" s="5">
        <f t="shared" si="33"/>
        <v>3.4925189173898551E-2</v>
      </c>
      <c r="Q87" s="4">
        <f>ROUND($C87+MIN($D87:$E87)*(1-SUMIFS(PrefFlows!$C:$C,PrefFlows!$A:$A,INDEX($D$1:$E$1,MATCH(MIN($D87:$E87),$D87:$E87,0)),PrefFlows!$B:$B,$B87)),2)</f>
        <v>59.89</v>
      </c>
      <c r="R87" s="5">
        <f>ROUND(MAX($D87:$E87)+MIN($D87:$E87)*SUMIFS(PrefFlows!$C:$C,PrefFlows!$A:$A,INDEX($D$1:$E$1,MATCH(MIN($D87:$E87),$D87:$E87,0)),PrefFlows!$B:$B,$B87),2)</f>
        <v>29.77</v>
      </c>
      <c r="S87" s="5">
        <f t="shared" si="34"/>
        <v>0</v>
      </c>
      <c r="T87" s="5">
        <f t="shared" si="35"/>
        <v>4.0199999999999996</v>
      </c>
      <c r="U87" s="3">
        <f t="shared" si="36"/>
        <v>6.32</v>
      </c>
      <c r="V87" s="6">
        <f t="shared" si="37"/>
        <v>-30.12</v>
      </c>
      <c r="W87" s="4">
        <f>ROUND($S87*SUMIFS(PrefFlows!$C:$C,PrefFlows!$A:$A,$S$1,PrefFlows!$B:$B,$B87)+$T87*SUMIFS(PrefFlows!$C:$C,PrefFlows!$A:$A,$T$1,PrefFlows!$B:$B,$B87)+$U87*SUMIFS(PrefFlows!$C:$C,PrefFlows!$A:$A,$U$1,PrefFlows!$B:$B,$B87),2)</f>
        <v>4.05</v>
      </c>
      <c r="X87" s="3">
        <f>ROUND($S87*(1-SUMIFS(PrefFlows!$C:$C,PrefFlows!$A:$A,$S$1,PrefFlows!$B:$B,$B87))+$T87*(1-SUMIFS(PrefFlows!$C:$C,PrefFlows!$A:$A,$T$1,PrefFlows!$B:$B,$B87))+$U87*(1-SUMIFS(PrefFlows!$C:$C,PrefFlows!$A:$A,$U$1,PrefFlows!$B:$B,$B87)),2)</f>
        <v>6.29</v>
      </c>
      <c r="Y87" s="4">
        <f t="shared" si="38"/>
        <v>4.7</v>
      </c>
      <c r="Z87" s="3">
        <f t="shared" si="39"/>
        <v>5.64</v>
      </c>
      <c r="AA87" s="4">
        <f t="shared" si="40"/>
        <v>0.39169999999999999</v>
      </c>
      <c r="AB87" s="5">
        <f t="shared" si="41"/>
        <v>0.45450000000000002</v>
      </c>
      <c r="AC87" s="5">
        <f t="shared" si="42"/>
        <v>6.2799999999999995E-2</v>
      </c>
      <c r="AD87" s="3">
        <v>9.9150859953263098E-3</v>
      </c>
      <c r="AE87" s="4">
        <f>ROUND(S87*(1-(Exhaust!$B$2+AD87)),2)</f>
        <v>0</v>
      </c>
      <c r="AF87" s="5">
        <f>ROUND(T87*(1-(Exhaust!$B$3+$AD87)),2)</f>
        <v>2.37</v>
      </c>
      <c r="AG87" s="3">
        <f>ROUND(U87*(1-(Exhaust!$B$4+$AD87)),2)</f>
        <v>3.1</v>
      </c>
      <c r="AH87" s="4">
        <f>ROUND($AE87*(SUMIFS(PrefFlows!$C:$C,PrefFlows!$A:$A,$S$1,PrefFlows!$B:$B,$B87)+$AC87)+$AF87*(SUMIFS(PrefFlows!$C:$C,PrefFlows!$A:$A,$T$1,PrefFlows!$B:$B,$B87)+$AC87)+$AG87*(SUMIFS(PrefFlows!$C:$C,PrefFlows!$A:$A,$U$1,PrefFlows!$B:$B,$B87)+$AC87),2)</f>
        <v>2.4</v>
      </c>
      <c r="AI87" s="3">
        <f>ROUND($AE87*(1-(SUMIFS(PrefFlows!$C:$C,PrefFlows!$A:$A,$S$1,PrefFlows!$B:$B,$B87)+$AC87))+$AF87*(1-(SUMIFS(PrefFlows!$C:$C,PrefFlows!$A:$A,$T$1,PrefFlows!$B:$B,$B87)+$AC87))+$AG87*(1-(SUMIFS(PrefFlows!$C:$C,PrefFlows!$A:$A,$U$1,PrefFlows!$B:$B,$B87)+$AC87)),2)</f>
        <v>3.07</v>
      </c>
      <c r="AJ87" s="4">
        <f t="shared" si="43"/>
        <v>32.17</v>
      </c>
      <c r="AK87" s="3">
        <f t="shared" si="44"/>
        <v>62.96</v>
      </c>
      <c r="AL87" s="4">
        <f t="shared" si="45"/>
        <v>33.82</v>
      </c>
      <c r="AM87" s="3">
        <f t="shared" si="45"/>
        <v>66.180000000000007</v>
      </c>
      <c r="AN87" s="1">
        <f t="shared" si="27"/>
        <v>-15.53</v>
      </c>
      <c r="AO87" s="1">
        <f t="shared" si="28"/>
        <v>-16.100000000000001</v>
      </c>
      <c r="AP87" s="3">
        <f t="shared" si="29"/>
        <v>-16.18</v>
      </c>
      <c r="AQ87" s="1" t="b">
        <f t="shared" si="46"/>
        <v>0</v>
      </c>
      <c r="AR87" s="1" t="b">
        <f t="shared" si="46"/>
        <v>0</v>
      </c>
      <c r="AS87" s="3" t="b">
        <f t="shared" si="47"/>
        <v>0</v>
      </c>
      <c r="AT87" s="1">
        <f t="shared" si="48"/>
        <v>-0.57000000000000206</v>
      </c>
      <c r="AU87" s="1">
        <f t="shared" si="48"/>
        <v>-0.65000000000000036</v>
      </c>
      <c r="AV87" s="3">
        <f t="shared" si="49"/>
        <v>7.9999999999998295E-2</v>
      </c>
      <c r="AW87" s="1">
        <f>ROUND(IF($B87="NSW",N87*Meta!$B$6,N87),1)</f>
        <v>3457</v>
      </c>
      <c r="AX87" s="3">
        <f t="shared" si="30"/>
        <v>92035.199999999997</v>
      </c>
    </row>
    <row r="88" spans="1:50" x14ac:dyDescent="0.55000000000000004">
      <c r="A88" s="2" t="s">
        <v>98</v>
      </c>
      <c r="B88" s="3" t="s">
        <v>22</v>
      </c>
      <c r="C88" s="4">
        <v>43.12</v>
      </c>
      <c r="D88" s="5">
        <v>38.81</v>
      </c>
      <c r="E88" s="5">
        <v>3.98</v>
      </c>
      <c r="F88" s="5">
        <v>1.31</v>
      </c>
      <c r="G88" s="5">
        <v>0</v>
      </c>
      <c r="H88" s="5">
        <v>7.5</v>
      </c>
      <c r="I88" s="5">
        <v>5.28</v>
      </c>
      <c r="J88" s="3">
        <f t="shared" si="31"/>
        <v>6.59</v>
      </c>
      <c r="K88" s="4">
        <v>45.97</v>
      </c>
      <c r="L88" s="3">
        <v>54.03</v>
      </c>
      <c r="M88" s="4">
        <v>87360</v>
      </c>
      <c r="N88" s="5">
        <v>4417</v>
      </c>
      <c r="O88" s="3">
        <f t="shared" si="32"/>
        <v>82943</v>
      </c>
      <c r="P88" s="5">
        <f t="shared" si="33"/>
        <v>5.0560897435897437E-2</v>
      </c>
      <c r="Q88" s="4">
        <f>ROUND($C88+MIN($D88:$E88)*(1-SUMIFS(PrefFlows!$C:$C,PrefFlows!$A:$A,INDEX($D$1:$E$1,MATCH(MIN($D88:$E88),$D88:$E88,0)),PrefFlows!$B:$B,$B88)),2)</f>
        <v>43.89</v>
      </c>
      <c r="R88" s="5">
        <f>ROUND(MAX($D88:$E88)+MIN($D88:$E88)*SUMIFS(PrefFlows!$C:$C,PrefFlows!$A:$A,INDEX($D$1:$E$1,MATCH(MIN($D88:$E88),$D88:$E88,0)),PrefFlows!$B:$B,$B88),2)</f>
        <v>42.02</v>
      </c>
      <c r="S88" s="5">
        <f t="shared" si="34"/>
        <v>0</v>
      </c>
      <c r="T88" s="5">
        <f t="shared" si="35"/>
        <v>7.5</v>
      </c>
      <c r="U88" s="3">
        <f t="shared" si="36"/>
        <v>6.59</v>
      </c>
      <c r="V88" s="6">
        <f t="shared" si="37"/>
        <v>-1.87</v>
      </c>
      <c r="W88" s="4">
        <f>ROUND($S88*SUMIFS(PrefFlows!$C:$C,PrefFlows!$A:$A,$S$1,PrefFlows!$B:$B,$B88)+$T88*SUMIFS(PrefFlows!$C:$C,PrefFlows!$A:$A,$T$1,PrefFlows!$B:$B,$B88)+$U88*SUMIFS(PrefFlows!$C:$C,PrefFlows!$A:$A,$U$1,PrefFlows!$B:$B,$B88),2)</f>
        <v>5.2</v>
      </c>
      <c r="X88" s="3">
        <f>ROUND($S88*(1-SUMIFS(PrefFlows!$C:$C,PrefFlows!$A:$A,$S$1,PrefFlows!$B:$B,$B88))+$T88*(1-SUMIFS(PrefFlows!$C:$C,PrefFlows!$A:$A,$T$1,PrefFlows!$B:$B,$B88))+$U88*(1-SUMIFS(PrefFlows!$C:$C,PrefFlows!$A:$A,$U$1,PrefFlows!$B:$B,$B88)),2)</f>
        <v>8.89</v>
      </c>
      <c r="Y88" s="4">
        <f t="shared" si="38"/>
        <v>3.95</v>
      </c>
      <c r="Z88" s="3">
        <f t="shared" si="39"/>
        <v>10.14</v>
      </c>
      <c r="AA88" s="4">
        <f t="shared" si="40"/>
        <v>0.36909999999999998</v>
      </c>
      <c r="AB88" s="5">
        <f t="shared" si="41"/>
        <v>0.28029999999999999</v>
      </c>
      <c r="AC88" s="5">
        <f t="shared" si="42"/>
        <v>-8.8800000000000004E-2</v>
      </c>
      <c r="AD88" s="3">
        <v>3.53355846485515E-2</v>
      </c>
      <c r="AE88" s="4">
        <f>ROUND(S88*(1-(Exhaust!$B$2+AD88)),2)</f>
        <v>0</v>
      </c>
      <c r="AF88" s="5">
        <f>ROUND(T88*(1-(Exhaust!$B$3+$AD88)),2)</f>
        <v>4.2300000000000004</v>
      </c>
      <c r="AG88" s="3">
        <f>ROUND(U88*(1-(Exhaust!$B$4+$AD88)),2)</f>
        <v>3.06</v>
      </c>
      <c r="AH88" s="4">
        <f>ROUND($AE88*(SUMIFS(PrefFlows!$C:$C,PrefFlows!$A:$A,$S$1,PrefFlows!$B:$B,$B88)+$AC88)+$AF88*(SUMIFS(PrefFlows!$C:$C,PrefFlows!$A:$A,$T$1,PrefFlows!$B:$B,$B88)+$AC88)+$AG88*(SUMIFS(PrefFlows!$C:$C,PrefFlows!$A:$A,$U$1,PrefFlows!$B:$B,$B88)+$AC88),2)</f>
        <v>1.95</v>
      </c>
      <c r="AI88" s="3">
        <f>ROUND($AE88*(1-(SUMIFS(PrefFlows!$C:$C,PrefFlows!$A:$A,$S$1,PrefFlows!$B:$B,$B88)+$AC88))+$AF88*(1-(SUMIFS(PrefFlows!$C:$C,PrefFlows!$A:$A,$T$1,PrefFlows!$B:$B,$B88)+$AC88))+$AG88*(1-(SUMIFS(PrefFlows!$C:$C,PrefFlows!$A:$A,$U$1,PrefFlows!$B:$B,$B88)+$AC88)),2)</f>
        <v>5.34</v>
      </c>
      <c r="AJ88" s="4">
        <f t="shared" si="43"/>
        <v>43.97</v>
      </c>
      <c r="AK88" s="3">
        <f t="shared" si="44"/>
        <v>49.23</v>
      </c>
      <c r="AL88" s="4">
        <f t="shared" si="45"/>
        <v>47.18</v>
      </c>
      <c r="AM88" s="3">
        <f t="shared" si="45"/>
        <v>52.82</v>
      </c>
      <c r="AN88" s="1">
        <f t="shared" si="27"/>
        <v>-4.03</v>
      </c>
      <c r="AO88" s="1">
        <f t="shared" si="28"/>
        <v>-2.73</v>
      </c>
      <c r="AP88" s="3">
        <f t="shared" si="29"/>
        <v>-2.82</v>
      </c>
      <c r="AQ88" s="1" t="b">
        <f t="shared" si="46"/>
        <v>0</v>
      </c>
      <c r="AR88" s="1" t="b">
        <f t="shared" si="46"/>
        <v>0</v>
      </c>
      <c r="AS88" s="3" t="b">
        <f t="shared" si="47"/>
        <v>0</v>
      </c>
      <c r="AT88" s="1">
        <f t="shared" si="48"/>
        <v>1.3000000000000003</v>
      </c>
      <c r="AU88" s="1">
        <f t="shared" si="48"/>
        <v>1.2100000000000004</v>
      </c>
      <c r="AV88" s="3">
        <f t="shared" si="49"/>
        <v>8.9999999999999858E-2</v>
      </c>
      <c r="AW88" s="1">
        <f>ROUND(IF($B88="NSW",N88*Meta!$B$6,N88),1)</f>
        <v>4417</v>
      </c>
      <c r="AX88" s="3">
        <f t="shared" si="30"/>
        <v>78756.600000000006</v>
      </c>
    </row>
    <row r="89" spans="1:50" x14ac:dyDescent="0.55000000000000004">
      <c r="A89" s="2" t="s">
        <v>99</v>
      </c>
      <c r="B89" s="3" t="s">
        <v>22</v>
      </c>
      <c r="C89" s="4">
        <v>51.57</v>
      </c>
      <c r="D89" s="5">
        <v>38.26</v>
      </c>
      <c r="E89" s="5">
        <v>0</v>
      </c>
      <c r="F89" s="5">
        <v>1.65</v>
      </c>
      <c r="G89" s="5">
        <v>0</v>
      </c>
      <c r="H89" s="5">
        <v>6.77</v>
      </c>
      <c r="I89" s="5">
        <v>1.75</v>
      </c>
      <c r="J89" s="3">
        <f t="shared" si="31"/>
        <v>3.4</v>
      </c>
      <c r="K89" s="4">
        <v>41.41</v>
      </c>
      <c r="L89" s="3">
        <v>58.59</v>
      </c>
      <c r="M89" s="4">
        <v>86050</v>
      </c>
      <c r="N89" s="5">
        <v>2548</v>
      </c>
      <c r="O89" s="3">
        <f t="shared" si="32"/>
        <v>83502</v>
      </c>
      <c r="P89" s="5">
        <f t="shared" si="33"/>
        <v>2.9610691458454387E-2</v>
      </c>
      <c r="Q89" s="4">
        <f>ROUND($C89+MIN($D89:$E89)*(1-SUMIFS(PrefFlows!$C:$C,PrefFlows!$A:$A,INDEX($D$1:$E$1,MATCH(MIN($D89:$E89),$D89:$E89,0)),PrefFlows!$B:$B,$B89)),2)</f>
        <v>51.57</v>
      </c>
      <c r="R89" s="5">
        <f>ROUND(MAX($D89:$E89)+MIN($D89:$E89)*SUMIFS(PrefFlows!$C:$C,PrefFlows!$A:$A,INDEX($D$1:$E$1,MATCH(MIN($D89:$E89),$D89:$E89,0)),PrefFlows!$B:$B,$B89),2)</f>
        <v>38.26</v>
      </c>
      <c r="S89" s="5">
        <f t="shared" si="34"/>
        <v>0</v>
      </c>
      <c r="T89" s="5">
        <f t="shared" si="35"/>
        <v>6.77</v>
      </c>
      <c r="U89" s="3">
        <f t="shared" si="36"/>
        <v>3.4</v>
      </c>
      <c r="V89" s="6">
        <f t="shared" si="37"/>
        <v>-13.31</v>
      </c>
      <c r="W89" s="4">
        <f>ROUND($S89*SUMIFS(PrefFlows!$C:$C,PrefFlows!$A:$A,$S$1,PrefFlows!$B:$B,$B89)+$T89*SUMIFS(PrefFlows!$C:$C,PrefFlows!$A:$A,$T$1,PrefFlows!$B:$B,$B89)+$U89*SUMIFS(PrefFlows!$C:$C,PrefFlows!$A:$A,$U$1,PrefFlows!$B:$B,$B89),2)</f>
        <v>3.4</v>
      </c>
      <c r="X89" s="3">
        <f>ROUND($S89*(1-SUMIFS(PrefFlows!$C:$C,PrefFlows!$A:$A,$S$1,PrefFlows!$B:$B,$B89))+$T89*(1-SUMIFS(PrefFlows!$C:$C,PrefFlows!$A:$A,$T$1,PrefFlows!$B:$B,$B89))+$U89*(1-SUMIFS(PrefFlows!$C:$C,PrefFlows!$A:$A,$U$1,PrefFlows!$B:$B,$B89)),2)</f>
        <v>6.77</v>
      </c>
      <c r="Y89" s="4">
        <f t="shared" si="38"/>
        <v>3.15</v>
      </c>
      <c r="Z89" s="3">
        <f t="shared" si="39"/>
        <v>7.02</v>
      </c>
      <c r="AA89" s="4">
        <f t="shared" si="40"/>
        <v>0.33429999999999999</v>
      </c>
      <c r="AB89" s="5">
        <f t="shared" si="41"/>
        <v>0.30969999999999998</v>
      </c>
      <c r="AC89" s="5">
        <f t="shared" si="42"/>
        <v>-2.46E-2</v>
      </c>
      <c r="AD89" s="3">
        <v>-2.43530251490587E-2</v>
      </c>
      <c r="AE89" s="4">
        <f>ROUND(S89*(1-(Exhaust!$B$2+AD89)),2)</f>
        <v>0</v>
      </c>
      <c r="AF89" s="5">
        <f>ROUND(T89*(1-(Exhaust!$B$3+$AD89)),2)</f>
        <v>4.2300000000000004</v>
      </c>
      <c r="AG89" s="3">
        <f>ROUND(U89*(1-(Exhaust!$B$4+$AD89)),2)</f>
        <v>1.78</v>
      </c>
      <c r="AH89" s="4">
        <f>ROUND($AE89*(SUMIFS(PrefFlows!$C:$C,PrefFlows!$A:$A,$S$1,PrefFlows!$B:$B,$B89)+$AC89)+$AF89*(SUMIFS(PrefFlows!$C:$C,PrefFlows!$A:$A,$T$1,PrefFlows!$B:$B,$B89)+$AC89)+$AG89*(SUMIFS(PrefFlows!$C:$C,PrefFlows!$A:$A,$U$1,PrefFlows!$B:$B,$B89)+$AC89),2)</f>
        <v>1.8</v>
      </c>
      <c r="AI89" s="3">
        <f>ROUND($AE89*(1-(SUMIFS(PrefFlows!$C:$C,PrefFlows!$A:$A,$S$1,PrefFlows!$B:$B,$B89)+$AC89))+$AF89*(1-(SUMIFS(PrefFlows!$C:$C,PrefFlows!$A:$A,$T$1,PrefFlows!$B:$B,$B89)+$AC89))+$AG89*(1-(SUMIFS(PrefFlows!$C:$C,PrefFlows!$A:$A,$U$1,PrefFlows!$B:$B,$B89)+$AC89)),2)</f>
        <v>4.21</v>
      </c>
      <c r="AJ89" s="4">
        <f t="shared" si="43"/>
        <v>40.06</v>
      </c>
      <c r="AK89" s="3">
        <f t="shared" si="44"/>
        <v>55.78</v>
      </c>
      <c r="AL89" s="4">
        <f t="shared" si="45"/>
        <v>41.8</v>
      </c>
      <c r="AM89" s="3">
        <f t="shared" si="45"/>
        <v>58.2</v>
      </c>
      <c r="AN89" s="1">
        <f t="shared" si="27"/>
        <v>-8.59</v>
      </c>
      <c r="AO89" s="1">
        <f t="shared" si="28"/>
        <v>-8.0500000000000007</v>
      </c>
      <c r="AP89" s="3">
        <f t="shared" si="29"/>
        <v>-8.1999999999999993</v>
      </c>
      <c r="AQ89" s="1" t="b">
        <f t="shared" si="46"/>
        <v>0</v>
      </c>
      <c r="AR89" s="1" t="b">
        <f t="shared" si="46"/>
        <v>0</v>
      </c>
      <c r="AS89" s="3" t="b">
        <f t="shared" si="47"/>
        <v>0</v>
      </c>
      <c r="AT89" s="1">
        <f t="shared" si="48"/>
        <v>0.53999999999999915</v>
      </c>
      <c r="AU89" s="1">
        <f t="shared" si="48"/>
        <v>0.39000000000000057</v>
      </c>
      <c r="AV89" s="3">
        <f t="shared" si="49"/>
        <v>0.14999999999999858</v>
      </c>
      <c r="AW89" s="1">
        <f>ROUND(IF($B89="NSW",N89*Meta!$B$6,N89),1)</f>
        <v>2548</v>
      </c>
      <c r="AX89" s="3">
        <f t="shared" si="30"/>
        <v>80890.7</v>
      </c>
    </row>
    <row r="90" spans="1:50" x14ac:dyDescent="0.55000000000000004">
      <c r="A90" s="2" t="s">
        <v>100</v>
      </c>
      <c r="B90" s="3" t="s">
        <v>12</v>
      </c>
      <c r="C90" s="4">
        <v>51.39</v>
      </c>
      <c r="D90" s="5">
        <v>38.15</v>
      </c>
      <c r="E90" s="5">
        <v>0</v>
      </c>
      <c r="F90" s="5">
        <v>1.1200000000000001</v>
      </c>
      <c r="G90" s="5">
        <v>0</v>
      </c>
      <c r="H90" s="5">
        <v>3.38</v>
      </c>
      <c r="I90" s="5">
        <v>5.96</v>
      </c>
      <c r="J90" s="3">
        <f t="shared" si="31"/>
        <v>7.08</v>
      </c>
      <c r="K90" s="4">
        <v>43.22</v>
      </c>
      <c r="L90" s="3">
        <v>56.78</v>
      </c>
      <c r="M90" s="4">
        <v>86500</v>
      </c>
      <c r="N90" s="5">
        <v>4791</v>
      </c>
      <c r="O90" s="3">
        <f t="shared" si="32"/>
        <v>81709</v>
      </c>
      <c r="P90" s="5">
        <f t="shared" si="33"/>
        <v>5.5387283236994218E-2</v>
      </c>
      <c r="Q90" s="4">
        <f>ROUND($C90+MIN($D90:$E90)*(1-SUMIFS(PrefFlows!$C:$C,PrefFlows!$A:$A,INDEX($D$1:$E$1,MATCH(MIN($D90:$E90),$D90:$E90,0)),PrefFlows!$B:$B,$B90)),2)</f>
        <v>51.39</v>
      </c>
      <c r="R90" s="5">
        <f>ROUND(MAX($D90:$E90)+MIN($D90:$E90)*SUMIFS(PrefFlows!$C:$C,PrefFlows!$A:$A,INDEX($D$1:$E$1,MATCH(MIN($D90:$E90),$D90:$E90,0)),PrefFlows!$B:$B,$B90),2)</f>
        <v>38.15</v>
      </c>
      <c r="S90" s="5">
        <f t="shared" si="34"/>
        <v>0</v>
      </c>
      <c r="T90" s="5">
        <f t="shared" si="35"/>
        <v>3.38</v>
      </c>
      <c r="U90" s="3">
        <f t="shared" si="36"/>
        <v>7.08</v>
      </c>
      <c r="V90" s="6">
        <f t="shared" si="37"/>
        <v>-13.24</v>
      </c>
      <c r="W90" s="4">
        <f>ROUND($S90*SUMIFS(PrefFlows!$C:$C,PrefFlows!$A:$A,$S$1,PrefFlows!$B:$B,$B90)+$T90*SUMIFS(PrefFlows!$C:$C,PrefFlows!$A:$A,$T$1,PrefFlows!$B:$B,$B90)+$U90*SUMIFS(PrefFlows!$C:$C,PrefFlows!$A:$A,$U$1,PrefFlows!$B:$B,$B90),2)</f>
        <v>4.3899999999999997</v>
      </c>
      <c r="X90" s="3">
        <f>ROUND($S90*(1-SUMIFS(PrefFlows!$C:$C,PrefFlows!$A:$A,$S$1,PrefFlows!$B:$B,$B90))+$T90*(1-SUMIFS(PrefFlows!$C:$C,PrefFlows!$A:$A,$T$1,PrefFlows!$B:$B,$B90))+$U90*(1-SUMIFS(PrefFlows!$C:$C,PrefFlows!$A:$A,$U$1,PrefFlows!$B:$B,$B90)),2)</f>
        <v>6.07</v>
      </c>
      <c r="Y90" s="4">
        <f t="shared" si="38"/>
        <v>5.07</v>
      </c>
      <c r="Z90" s="3">
        <f t="shared" si="39"/>
        <v>5.39</v>
      </c>
      <c r="AA90" s="4">
        <f t="shared" si="40"/>
        <v>0.41970000000000002</v>
      </c>
      <c r="AB90" s="5">
        <f t="shared" si="41"/>
        <v>0.48470000000000002</v>
      </c>
      <c r="AC90" s="5">
        <f t="shared" si="42"/>
        <v>6.5000000000000002E-2</v>
      </c>
      <c r="AD90" s="3">
        <v>5.7697851084193903E-2</v>
      </c>
      <c r="AE90" s="4">
        <f>ROUND(S90*(1-(Exhaust!$B$2+AD90)),2)</f>
        <v>0</v>
      </c>
      <c r="AF90" s="5">
        <f>ROUND(T90*(1-(Exhaust!$B$3+$AD90)),2)</f>
        <v>1.83</v>
      </c>
      <c r="AG90" s="3">
        <f>ROUND(U90*(1-(Exhaust!$B$4+$AD90)),2)</f>
        <v>3.13</v>
      </c>
      <c r="AH90" s="4">
        <f>ROUND($AE90*(SUMIFS(PrefFlows!$C:$C,PrefFlows!$A:$A,$S$1,PrefFlows!$B:$B,$B90)+$AC90)+$AF90*(SUMIFS(PrefFlows!$C:$C,PrefFlows!$A:$A,$T$1,PrefFlows!$B:$B,$B90)+$AC90)+$AG90*(SUMIFS(PrefFlows!$C:$C,PrefFlows!$A:$A,$U$1,PrefFlows!$B:$B,$B90)+$AC90),2)</f>
        <v>2.33</v>
      </c>
      <c r="AI90" s="3">
        <f>ROUND($AE90*(1-(SUMIFS(PrefFlows!$C:$C,PrefFlows!$A:$A,$S$1,PrefFlows!$B:$B,$B90)+$AC90))+$AF90*(1-(SUMIFS(PrefFlows!$C:$C,PrefFlows!$A:$A,$T$1,PrefFlows!$B:$B,$B90)+$AC90))+$AG90*(1-(SUMIFS(PrefFlows!$C:$C,PrefFlows!$A:$A,$U$1,PrefFlows!$B:$B,$B90)+$AC90)),2)</f>
        <v>2.63</v>
      </c>
      <c r="AJ90" s="4">
        <f t="shared" si="43"/>
        <v>40.479999999999997</v>
      </c>
      <c r="AK90" s="3">
        <f t="shared" si="44"/>
        <v>54.02</v>
      </c>
      <c r="AL90" s="4">
        <f t="shared" si="45"/>
        <v>42.84</v>
      </c>
      <c r="AM90" s="3">
        <f t="shared" si="45"/>
        <v>57.16</v>
      </c>
      <c r="AN90" s="1">
        <f t="shared" si="27"/>
        <v>-6.78</v>
      </c>
      <c r="AO90" s="1">
        <f t="shared" si="28"/>
        <v>-7.06</v>
      </c>
      <c r="AP90" s="3">
        <f t="shared" si="29"/>
        <v>-7.16</v>
      </c>
      <c r="AQ90" s="1" t="b">
        <f t="shared" si="46"/>
        <v>0</v>
      </c>
      <c r="AR90" s="1" t="b">
        <f t="shared" si="46"/>
        <v>0</v>
      </c>
      <c r="AS90" s="3" t="b">
        <f t="shared" si="47"/>
        <v>0</v>
      </c>
      <c r="AT90" s="1">
        <f t="shared" si="48"/>
        <v>-0.27999999999999936</v>
      </c>
      <c r="AU90" s="1">
        <f t="shared" si="48"/>
        <v>-0.37999999999999989</v>
      </c>
      <c r="AV90" s="3">
        <f t="shared" si="49"/>
        <v>0.10000000000000053</v>
      </c>
      <c r="AW90" s="1">
        <f>ROUND(IF($B90="NSW",N90*Meta!$B$6,N90),1)</f>
        <v>3147.7</v>
      </c>
      <c r="AX90" s="3">
        <f t="shared" si="30"/>
        <v>79818.3</v>
      </c>
    </row>
    <row r="91" spans="1:50" x14ac:dyDescent="0.55000000000000004">
      <c r="A91" s="2" t="s">
        <v>101</v>
      </c>
      <c r="B91" s="3" t="s">
        <v>102</v>
      </c>
      <c r="C91" s="4">
        <v>53.99</v>
      </c>
      <c r="D91" s="5">
        <v>34.659999999999997</v>
      </c>
      <c r="E91" s="5">
        <v>0</v>
      </c>
      <c r="F91" s="5">
        <v>0</v>
      </c>
      <c r="G91" s="5">
        <v>0</v>
      </c>
      <c r="H91" s="5">
        <v>6.92</v>
      </c>
      <c r="I91" s="5">
        <v>4.43</v>
      </c>
      <c r="J91" s="3">
        <f t="shared" si="31"/>
        <v>4.43</v>
      </c>
      <c r="K91" s="4">
        <v>38.840000000000003</v>
      </c>
      <c r="L91" s="3">
        <v>61.16</v>
      </c>
      <c r="M91" s="4">
        <v>49084</v>
      </c>
      <c r="N91" s="5">
        <v>2381</v>
      </c>
      <c r="O91" s="3">
        <f t="shared" si="32"/>
        <v>46703</v>
      </c>
      <c r="P91" s="5">
        <f t="shared" si="33"/>
        <v>4.8508678999266565E-2</v>
      </c>
      <c r="Q91" s="4">
        <f>ROUND($C91+MIN($D91:$E91)*(1-SUMIFS(PrefFlows!$C:$C,PrefFlows!$A:$A,INDEX($D$1:$E$1,MATCH(MIN($D91:$E91),$D91:$E91,0)),PrefFlows!$B:$B,$B91)),2)</f>
        <v>53.99</v>
      </c>
      <c r="R91" s="5">
        <f>ROUND(MAX($D91:$E91)+MIN($D91:$E91)*SUMIFS(PrefFlows!$C:$C,PrefFlows!$A:$A,INDEX($D$1:$E$1,MATCH(MIN($D91:$E91),$D91:$E91,0)),PrefFlows!$B:$B,$B91),2)</f>
        <v>34.659999999999997</v>
      </c>
      <c r="S91" s="5">
        <f t="shared" si="34"/>
        <v>0</v>
      </c>
      <c r="T91" s="5">
        <f t="shared" si="35"/>
        <v>6.92</v>
      </c>
      <c r="U91" s="3">
        <f t="shared" si="36"/>
        <v>4.43</v>
      </c>
      <c r="V91" s="6">
        <f t="shared" si="37"/>
        <v>-19.329999999999998</v>
      </c>
      <c r="W91" s="4">
        <f>ROUND($S91*SUMIFS(PrefFlows!$C:$C,PrefFlows!$A:$A,$S$1,PrefFlows!$B:$B,$B91)+$T91*SUMIFS(PrefFlows!$C:$C,PrefFlows!$A:$A,$T$1,PrefFlows!$B:$B,$B91)+$U91*SUMIFS(PrefFlows!$C:$C,PrefFlows!$A:$A,$U$1,PrefFlows!$B:$B,$B91),2)</f>
        <v>4</v>
      </c>
      <c r="X91" s="3">
        <f>ROUND($S91*(1-SUMIFS(PrefFlows!$C:$C,PrefFlows!$A:$A,$S$1,PrefFlows!$B:$B,$B91))+$T91*(1-SUMIFS(PrefFlows!$C:$C,PrefFlows!$A:$A,$T$1,PrefFlows!$B:$B,$B91))+$U91*(1-SUMIFS(PrefFlows!$C:$C,PrefFlows!$A:$A,$U$1,PrefFlows!$B:$B,$B91)),2)</f>
        <v>7.35</v>
      </c>
      <c r="Y91" s="4">
        <f t="shared" si="38"/>
        <v>4.18</v>
      </c>
      <c r="Z91" s="3">
        <f t="shared" si="39"/>
        <v>7.17</v>
      </c>
      <c r="AA91" s="4">
        <f t="shared" si="40"/>
        <v>0.35239999999999999</v>
      </c>
      <c r="AB91" s="5">
        <f t="shared" si="41"/>
        <v>0.36830000000000002</v>
      </c>
      <c r="AC91" s="5">
        <f t="shared" si="42"/>
        <v>1.5900000000000001E-2</v>
      </c>
      <c r="AD91" s="3">
        <v>-4.9422969085707098E-2</v>
      </c>
      <c r="AE91" s="4">
        <f>ROUND(S91*(1-(Exhaust!$B$2+AD91)),2)</f>
        <v>0</v>
      </c>
      <c r="AF91" s="5">
        <f>ROUND(T91*(1-(Exhaust!$B$3+$AD91)),2)</f>
        <v>4.49</v>
      </c>
      <c r="AG91" s="3">
        <f>ROUND(U91*(1-(Exhaust!$B$4+$AD91)),2)</f>
        <v>2.4300000000000002</v>
      </c>
      <c r="AH91" s="4">
        <f>ROUND($AE91*(SUMIFS(PrefFlows!$C:$C,PrefFlows!$A:$A,$S$1,PrefFlows!$B:$B,$B91)+$AC91)+$AF91*(SUMIFS(PrefFlows!$C:$C,PrefFlows!$A:$A,$T$1,PrefFlows!$B:$B,$B91)+$AC91)+$AG91*(SUMIFS(PrefFlows!$C:$C,PrefFlows!$A:$A,$U$1,PrefFlows!$B:$B,$B91)+$AC91),2)</f>
        <v>2.4700000000000002</v>
      </c>
      <c r="AI91" s="3">
        <f>ROUND($AE91*(1-(SUMIFS(PrefFlows!$C:$C,PrefFlows!$A:$A,$S$1,PrefFlows!$B:$B,$B91)+$AC91))+$AF91*(1-(SUMIFS(PrefFlows!$C:$C,PrefFlows!$A:$A,$T$1,PrefFlows!$B:$B,$B91)+$AC91))+$AG91*(1-(SUMIFS(PrefFlows!$C:$C,PrefFlows!$A:$A,$U$1,PrefFlows!$B:$B,$B91)+$AC91)),2)</f>
        <v>4.45</v>
      </c>
      <c r="AJ91" s="4">
        <f t="shared" si="43"/>
        <v>37.130000000000003</v>
      </c>
      <c r="AK91" s="3">
        <f t="shared" si="44"/>
        <v>58.44</v>
      </c>
      <c r="AL91" s="4">
        <f t="shared" si="45"/>
        <v>38.85</v>
      </c>
      <c r="AM91" s="3">
        <f t="shared" si="45"/>
        <v>61.15</v>
      </c>
      <c r="AN91" s="1">
        <f t="shared" si="27"/>
        <v>-11.16</v>
      </c>
      <c r="AO91" s="1">
        <f t="shared" si="28"/>
        <v>-11.04</v>
      </c>
      <c r="AP91" s="3">
        <f t="shared" si="29"/>
        <v>-11.15</v>
      </c>
      <c r="AQ91" s="1" t="b">
        <f t="shared" si="46"/>
        <v>0</v>
      </c>
      <c r="AR91" s="1" t="b">
        <f t="shared" si="46"/>
        <v>0</v>
      </c>
      <c r="AS91" s="3" t="b">
        <f t="shared" si="47"/>
        <v>0</v>
      </c>
      <c r="AT91" s="1">
        <f t="shared" si="48"/>
        <v>0.12000000000000099</v>
      </c>
      <c r="AU91" s="1">
        <f t="shared" si="48"/>
        <v>9.9999999999997868E-3</v>
      </c>
      <c r="AV91" s="3">
        <f t="shared" si="49"/>
        <v>0.11000000000000121</v>
      </c>
      <c r="AW91" s="1">
        <f>ROUND(IF($B91="NSW",N91*Meta!$B$6,N91),1)</f>
        <v>2381</v>
      </c>
      <c r="AX91" s="3">
        <f t="shared" si="30"/>
        <v>45437.599999999999</v>
      </c>
    </row>
    <row r="92" spans="1:50" x14ac:dyDescent="0.55000000000000004">
      <c r="A92" s="2" t="s">
        <v>103</v>
      </c>
      <c r="B92" s="3" t="s">
        <v>22</v>
      </c>
      <c r="C92" s="4">
        <v>47.98</v>
      </c>
      <c r="D92" s="5">
        <v>43.82</v>
      </c>
      <c r="E92" s="5">
        <v>0</v>
      </c>
      <c r="F92" s="5">
        <v>1.86</v>
      </c>
      <c r="G92" s="5">
        <v>0</v>
      </c>
      <c r="H92" s="5">
        <v>4.24</v>
      </c>
      <c r="I92" s="5">
        <v>2.1</v>
      </c>
      <c r="J92" s="3">
        <f t="shared" si="31"/>
        <v>3.96</v>
      </c>
      <c r="K92" s="4">
        <v>46.43</v>
      </c>
      <c r="L92" s="3">
        <v>53.57</v>
      </c>
      <c r="M92" s="4">
        <v>85133</v>
      </c>
      <c r="N92" s="5">
        <v>2950</v>
      </c>
      <c r="O92" s="3">
        <f t="shared" si="32"/>
        <v>82183</v>
      </c>
      <c r="P92" s="5">
        <f t="shared" si="33"/>
        <v>3.4651662692492924E-2</v>
      </c>
      <c r="Q92" s="4">
        <f>ROUND($C92+MIN($D92:$E92)*(1-SUMIFS(PrefFlows!$C:$C,PrefFlows!$A:$A,INDEX($D$1:$E$1,MATCH(MIN($D92:$E92),$D92:$E92,0)),PrefFlows!$B:$B,$B92)),2)</f>
        <v>47.98</v>
      </c>
      <c r="R92" s="5">
        <f>ROUND(MAX($D92:$E92)+MIN($D92:$E92)*SUMIFS(PrefFlows!$C:$C,PrefFlows!$A:$A,INDEX($D$1:$E$1,MATCH(MIN($D92:$E92),$D92:$E92,0)),PrefFlows!$B:$B,$B92),2)</f>
        <v>43.82</v>
      </c>
      <c r="S92" s="5">
        <f t="shared" si="34"/>
        <v>0</v>
      </c>
      <c r="T92" s="5">
        <f t="shared" si="35"/>
        <v>4.24</v>
      </c>
      <c r="U92" s="3">
        <f t="shared" si="36"/>
        <v>3.96</v>
      </c>
      <c r="V92" s="6">
        <f t="shared" si="37"/>
        <v>-4.16</v>
      </c>
      <c r="W92" s="4">
        <f>ROUND($S92*SUMIFS(PrefFlows!$C:$C,PrefFlows!$A:$A,$S$1,PrefFlows!$B:$B,$B92)+$T92*SUMIFS(PrefFlows!$C:$C,PrefFlows!$A:$A,$T$1,PrefFlows!$B:$B,$B92)+$U92*SUMIFS(PrefFlows!$C:$C,PrefFlows!$A:$A,$U$1,PrefFlows!$B:$B,$B92),2)</f>
        <v>3.06</v>
      </c>
      <c r="X92" s="3">
        <f>ROUND($S92*(1-SUMIFS(PrefFlows!$C:$C,PrefFlows!$A:$A,$S$1,PrefFlows!$B:$B,$B92))+$T92*(1-SUMIFS(PrefFlows!$C:$C,PrefFlows!$A:$A,$T$1,PrefFlows!$B:$B,$B92))+$U92*(1-SUMIFS(PrefFlows!$C:$C,PrefFlows!$A:$A,$U$1,PrefFlows!$B:$B,$B92)),2)</f>
        <v>5.14</v>
      </c>
      <c r="Y92" s="4">
        <f t="shared" si="38"/>
        <v>2.61</v>
      </c>
      <c r="Z92" s="3">
        <f t="shared" si="39"/>
        <v>5.59</v>
      </c>
      <c r="AA92" s="4">
        <f t="shared" si="40"/>
        <v>0.37319999999999998</v>
      </c>
      <c r="AB92" s="5">
        <f t="shared" si="41"/>
        <v>0.31830000000000003</v>
      </c>
      <c r="AC92" s="5">
        <f t="shared" si="42"/>
        <v>-5.4899999999999997E-2</v>
      </c>
      <c r="AD92" s="3">
        <v>6.5491911633003899E-2</v>
      </c>
      <c r="AE92" s="4">
        <f>ROUND(S92*(1-(Exhaust!$B$2+AD92)),2)</f>
        <v>0</v>
      </c>
      <c r="AF92" s="5">
        <f>ROUND(T92*(1-(Exhaust!$B$3+$AD92)),2)</f>
        <v>2.27</v>
      </c>
      <c r="AG92" s="3">
        <f>ROUND(U92*(1-(Exhaust!$B$4+$AD92)),2)</f>
        <v>1.72</v>
      </c>
      <c r="AH92" s="4">
        <f>ROUND($AE92*(SUMIFS(PrefFlows!$C:$C,PrefFlows!$A:$A,$S$1,PrefFlows!$B:$B,$B92)+$AC92)+$AF92*(SUMIFS(PrefFlows!$C:$C,PrefFlows!$A:$A,$T$1,PrefFlows!$B:$B,$B92)+$AC92)+$AG92*(SUMIFS(PrefFlows!$C:$C,PrefFlows!$A:$A,$U$1,PrefFlows!$B:$B,$B92)+$AC92),2)</f>
        <v>1.22</v>
      </c>
      <c r="AI92" s="3">
        <f>ROUND($AE92*(1-(SUMIFS(PrefFlows!$C:$C,PrefFlows!$A:$A,$S$1,PrefFlows!$B:$B,$B92)+$AC92))+$AF92*(1-(SUMIFS(PrefFlows!$C:$C,PrefFlows!$A:$A,$T$1,PrefFlows!$B:$B,$B92)+$AC92))+$AG92*(1-(SUMIFS(PrefFlows!$C:$C,PrefFlows!$A:$A,$U$1,PrefFlows!$B:$B,$B92)+$AC92)),2)</f>
        <v>2.77</v>
      </c>
      <c r="AJ92" s="4">
        <f t="shared" si="43"/>
        <v>45.04</v>
      </c>
      <c r="AK92" s="3">
        <f t="shared" si="44"/>
        <v>50.75</v>
      </c>
      <c r="AL92" s="4">
        <f t="shared" si="45"/>
        <v>47.02</v>
      </c>
      <c r="AM92" s="3">
        <f t="shared" si="45"/>
        <v>52.98</v>
      </c>
      <c r="AN92" s="1">
        <f t="shared" si="27"/>
        <v>-3.57</v>
      </c>
      <c r="AO92" s="1">
        <f t="shared" si="28"/>
        <v>-2.97</v>
      </c>
      <c r="AP92" s="3">
        <f t="shared" si="29"/>
        <v>-2.98</v>
      </c>
      <c r="AQ92" s="1" t="b">
        <f t="shared" si="46"/>
        <v>0</v>
      </c>
      <c r="AR92" s="1" t="b">
        <f t="shared" si="46"/>
        <v>0</v>
      </c>
      <c r="AS92" s="3" t="b">
        <f t="shared" si="47"/>
        <v>0</v>
      </c>
      <c r="AT92" s="1">
        <f t="shared" si="48"/>
        <v>0.59999999999999964</v>
      </c>
      <c r="AU92" s="1">
        <f t="shared" si="48"/>
        <v>0.58999999999999986</v>
      </c>
      <c r="AV92" s="3">
        <f t="shared" si="49"/>
        <v>9.9999999999997868E-3</v>
      </c>
      <c r="AW92" s="1">
        <f>ROUND(IF($B92="NSW",N92*Meta!$B$6,N92),1)</f>
        <v>2950</v>
      </c>
      <c r="AX92" s="3">
        <f t="shared" si="30"/>
        <v>79721</v>
      </c>
    </row>
    <row r="93" spans="1:50" x14ac:dyDescent="0.55000000000000004">
      <c r="A93" s="2" t="s">
        <v>104</v>
      </c>
      <c r="B93" s="3" t="s">
        <v>12</v>
      </c>
      <c r="C93" s="4">
        <v>49.27</v>
      </c>
      <c r="D93" s="5">
        <v>40.06</v>
      </c>
      <c r="E93" s="5">
        <v>0</v>
      </c>
      <c r="F93" s="5">
        <v>0</v>
      </c>
      <c r="G93" s="5">
        <v>0</v>
      </c>
      <c r="H93" s="5">
        <v>8.61</v>
      </c>
      <c r="I93" s="5">
        <v>2.06</v>
      </c>
      <c r="J93" s="3">
        <f t="shared" si="31"/>
        <v>2.06</v>
      </c>
      <c r="K93" s="4">
        <v>42.63</v>
      </c>
      <c r="L93" s="3">
        <v>57.37</v>
      </c>
      <c r="M93" s="4">
        <v>82772</v>
      </c>
      <c r="N93" s="5">
        <v>4098</v>
      </c>
      <c r="O93" s="3">
        <f t="shared" si="32"/>
        <v>78674</v>
      </c>
      <c r="P93" s="5">
        <f t="shared" si="33"/>
        <v>4.9509495964819024E-2</v>
      </c>
      <c r="Q93" s="4">
        <f>ROUND($C93+MIN($D93:$E93)*(1-SUMIFS(PrefFlows!$C:$C,PrefFlows!$A:$A,INDEX($D$1:$E$1,MATCH(MIN($D93:$E93),$D93:$E93,0)),PrefFlows!$B:$B,$B93)),2)</f>
        <v>49.27</v>
      </c>
      <c r="R93" s="5">
        <f>ROUND(MAX($D93:$E93)+MIN($D93:$E93)*SUMIFS(PrefFlows!$C:$C,PrefFlows!$A:$A,INDEX($D$1:$E$1,MATCH(MIN($D93:$E93),$D93:$E93,0)),PrefFlows!$B:$B,$B93),2)</f>
        <v>40.06</v>
      </c>
      <c r="S93" s="5">
        <f t="shared" si="34"/>
        <v>0</v>
      </c>
      <c r="T93" s="5">
        <f t="shared" si="35"/>
        <v>8.61</v>
      </c>
      <c r="U93" s="3">
        <f t="shared" si="36"/>
        <v>2.06</v>
      </c>
      <c r="V93" s="6">
        <f t="shared" si="37"/>
        <v>-9.2100000000000009</v>
      </c>
      <c r="W93" s="4">
        <f>ROUND($S93*SUMIFS(PrefFlows!$C:$C,PrefFlows!$A:$A,$S$1,PrefFlows!$B:$B,$B93)+$T93*SUMIFS(PrefFlows!$C:$C,PrefFlows!$A:$A,$T$1,PrefFlows!$B:$B,$B93)+$U93*SUMIFS(PrefFlows!$C:$C,PrefFlows!$A:$A,$U$1,PrefFlows!$B:$B,$B93),2)</f>
        <v>2.74</v>
      </c>
      <c r="X93" s="3">
        <f>ROUND($S93*(1-SUMIFS(PrefFlows!$C:$C,PrefFlows!$A:$A,$S$1,PrefFlows!$B:$B,$B93))+$T93*(1-SUMIFS(PrefFlows!$C:$C,PrefFlows!$A:$A,$T$1,PrefFlows!$B:$B,$B93))+$U93*(1-SUMIFS(PrefFlows!$C:$C,PrefFlows!$A:$A,$U$1,PrefFlows!$B:$B,$B93)),2)</f>
        <v>7.93</v>
      </c>
      <c r="Y93" s="4">
        <f t="shared" si="38"/>
        <v>2.57</v>
      </c>
      <c r="Z93" s="3">
        <f t="shared" si="39"/>
        <v>8.1</v>
      </c>
      <c r="AA93" s="4">
        <f t="shared" si="40"/>
        <v>0.25679999999999997</v>
      </c>
      <c r="AB93" s="5">
        <f t="shared" si="41"/>
        <v>0.2409</v>
      </c>
      <c r="AC93" s="5">
        <f t="shared" si="42"/>
        <v>-1.5900000000000001E-2</v>
      </c>
      <c r="AD93" s="3">
        <v>4.1557478664729697E-2</v>
      </c>
      <c r="AE93" s="4">
        <f>ROUND(S93*(1-(Exhaust!$B$2+AD93)),2)</f>
        <v>0</v>
      </c>
      <c r="AF93" s="5">
        <f>ROUND(T93*(1-(Exhaust!$B$3+$AD93)),2)</f>
        <v>4.8099999999999996</v>
      </c>
      <c r="AG93" s="3">
        <f>ROUND(U93*(1-(Exhaust!$B$4+$AD93)),2)</f>
        <v>0.94</v>
      </c>
      <c r="AH93" s="4">
        <f>ROUND($AE93*(SUMIFS(PrefFlows!$C:$C,PrefFlows!$A:$A,$S$1,PrefFlows!$B:$B,$B93)+$AC93)+$AF93*(SUMIFS(PrefFlows!$C:$C,PrefFlows!$A:$A,$T$1,PrefFlows!$B:$B,$B93)+$AC93)+$AG93*(SUMIFS(PrefFlows!$C:$C,PrefFlows!$A:$A,$U$1,PrefFlows!$B:$B,$B93)+$AC93),2)</f>
        <v>1.33</v>
      </c>
      <c r="AI93" s="3">
        <f>ROUND($AE93*(1-(SUMIFS(PrefFlows!$C:$C,PrefFlows!$A:$A,$S$1,PrefFlows!$B:$B,$B93)+$AC93))+$AF93*(1-(SUMIFS(PrefFlows!$C:$C,PrefFlows!$A:$A,$T$1,PrefFlows!$B:$B,$B93)+$AC93))+$AG93*(1-(SUMIFS(PrefFlows!$C:$C,PrefFlows!$A:$A,$U$1,PrefFlows!$B:$B,$B93)+$AC93)),2)</f>
        <v>4.42</v>
      </c>
      <c r="AJ93" s="4">
        <f t="shared" si="43"/>
        <v>41.39</v>
      </c>
      <c r="AK93" s="3">
        <f t="shared" si="44"/>
        <v>53.69</v>
      </c>
      <c r="AL93" s="4">
        <f t="shared" si="45"/>
        <v>43.53</v>
      </c>
      <c r="AM93" s="3">
        <f t="shared" si="45"/>
        <v>56.47</v>
      </c>
      <c r="AN93" s="1">
        <f t="shared" si="27"/>
        <v>-7.37</v>
      </c>
      <c r="AO93" s="1">
        <f t="shared" si="28"/>
        <v>-6.37</v>
      </c>
      <c r="AP93" s="3">
        <f t="shared" si="29"/>
        <v>-6.47</v>
      </c>
      <c r="AQ93" s="1" t="b">
        <f t="shared" si="46"/>
        <v>0</v>
      </c>
      <c r="AR93" s="1" t="b">
        <f t="shared" si="46"/>
        <v>0</v>
      </c>
      <c r="AS93" s="3" t="b">
        <f t="shared" si="47"/>
        <v>0</v>
      </c>
      <c r="AT93" s="1">
        <f t="shared" si="48"/>
        <v>1</v>
      </c>
      <c r="AU93" s="1">
        <f t="shared" si="48"/>
        <v>0.90000000000000036</v>
      </c>
      <c r="AV93" s="3">
        <f t="shared" si="49"/>
        <v>9.9999999999999645E-2</v>
      </c>
      <c r="AW93" s="1">
        <f>ROUND(IF($B93="NSW",N93*Meta!$B$6,N93),1)</f>
        <v>2692.4</v>
      </c>
      <c r="AX93" s="3">
        <f t="shared" si="30"/>
        <v>77043.7</v>
      </c>
    </row>
    <row r="94" spans="1:50" x14ac:dyDescent="0.55000000000000004">
      <c r="A94" s="2" t="s">
        <v>105</v>
      </c>
      <c r="B94" s="3" t="s">
        <v>12</v>
      </c>
      <c r="C94" s="4">
        <v>32.07</v>
      </c>
      <c r="D94" s="5">
        <v>0</v>
      </c>
      <c r="E94" s="5">
        <v>52.26</v>
      </c>
      <c r="F94" s="5">
        <v>0</v>
      </c>
      <c r="G94" s="5">
        <v>0</v>
      </c>
      <c r="H94" s="5">
        <v>7.15</v>
      </c>
      <c r="I94" s="5">
        <v>8.52</v>
      </c>
      <c r="J94" s="3">
        <f t="shared" si="31"/>
        <v>8.52</v>
      </c>
      <c r="K94" s="4">
        <v>58.58</v>
      </c>
      <c r="L94" s="3">
        <v>41.42</v>
      </c>
      <c r="M94" s="4">
        <v>83282</v>
      </c>
      <c r="N94" s="5">
        <v>4220</v>
      </c>
      <c r="O94" s="3">
        <f t="shared" si="32"/>
        <v>79062</v>
      </c>
      <c r="P94" s="5">
        <f t="shared" si="33"/>
        <v>5.0671213467495979E-2</v>
      </c>
      <c r="Q94" s="4">
        <f>ROUND($C94+MIN($D94:$E94)*(1-SUMIFS(PrefFlows!$C:$C,PrefFlows!$A:$A,INDEX($D$1:$E$1,MATCH(MIN($D94:$E94),$D94:$E94,0)),PrefFlows!$B:$B,$B94)),2)</f>
        <v>32.07</v>
      </c>
      <c r="R94" s="5">
        <f>ROUND(MAX($D94:$E94)+MIN($D94:$E94)*SUMIFS(PrefFlows!$C:$C,PrefFlows!$A:$A,INDEX($D$1:$E$1,MATCH(MIN($D94:$E94),$D94:$E94,0)),PrefFlows!$B:$B,$B94),2)</f>
        <v>52.26</v>
      </c>
      <c r="S94" s="5">
        <f t="shared" si="34"/>
        <v>0</v>
      </c>
      <c r="T94" s="5">
        <f t="shared" si="35"/>
        <v>7.15</v>
      </c>
      <c r="U94" s="3">
        <f t="shared" si="36"/>
        <v>8.52</v>
      </c>
      <c r="V94" s="6">
        <f t="shared" si="37"/>
        <v>20.190000000000001</v>
      </c>
      <c r="W94" s="4">
        <f>ROUND($S94*SUMIFS(PrefFlows!$C:$C,PrefFlows!$A:$A,$S$1,PrefFlows!$B:$B,$B94)+$T94*SUMIFS(PrefFlows!$C:$C,PrefFlows!$A:$A,$T$1,PrefFlows!$B:$B,$B94)+$U94*SUMIFS(PrefFlows!$C:$C,PrefFlows!$A:$A,$U$1,PrefFlows!$B:$B,$B94),2)</f>
        <v>5.88</v>
      </c>
      <c r="X94" s="3">
        <f>ROUND($S94*(1-SUMIFS(PrefFlows!$C:$C,PrefFlows!$A:$A,$S$1,PrefFlows!$B:$B,$B94))+$T94*(1-SUMIFS(PrefFlows!$C:$C,PrefFlows!$A:$A,$T$1,PrefFlows!$B:$B,$B94))+$U94*(1-SUMIFS(PrefFlows!$C:$C,PrefFlows!$A:$A,$U$1,PrefFlows!$B:$B,$B94)),2)</f>
        <v>9.7899999999999991</v>
      </c>
      <c r="Y94" s="4">
        <f t="shared" si="38"/>
        <v>6.32</v>
      </c>
      <c r="Z94" s="3">
        <f t="shared" si="39"/>
        <v>9.35</v>
      </c>
      <c r="AA94" s="4">
        <f t="shared" si="40"/>
        <v>0.37519999999999998</v>
      </c>
      <c r="AB94" s="5">
        <f t="shared" si="41"/>
        <v>0.40329999999999999</v>
      </c>
      <c r="AC94" s="5">
        <f t="shared" si="42"/>
        <v>2.81E-2</v>
      </c>
      <c r="AD94" s="3">
        <v>2.41762453806923E-2</v>
      </c>
      <c r="AE94" s="4">
        <f>ROUND(S94*(1-(Exhaust!$B$2+AD94)),2)</f>
        <v>0</v>
      </c>
      <c r="AF94" s="5">
        <f>ROUND(T94*(1-(Exhaust!$B$3+$AD94)),2)</f>
        <v>4.12</v>
      </c>
      <c r="AG94" s="3">
        <f>ROUND(U94*(1-(Exhaust!$B$4+$AD94)),2)</f>
        <v>4.05</v>
      </c>
      <c r="AH94" s="4">
        <f>ROUND($AE94*(SUMIFS(PrefFlows!$C:$C,PrefFlows!$A:$A,$S$1,PrefFlows!$B:$B,$B94)+$AC94)+$AF94*(SUMIFS(PrefFlows!$C:$C,PrefFlows!$A:$A,$T$1,PrefFlows!$B:$B,$B94)+$AC94)+$AG94*(SUMIFS(PrefFlows!$C:$C,PrefFlows!$A:$A,$U$1,PrefFlows!$B:$B,$B94)+$AC94),2)</f>
        <v>3.16</v>
      </c>
      <c r="AI94" s="3">
        <f>ROUND($AE94*(1-(SUMIFS(PrefFlows!$C:$C,PrefFlows!$A:$A,$S$1,PrefFlows!$B:$B,$B94)+$AC94))+$AF94*(1-(SUMIFS(PrefFlows!$C:$C,PrefFlows!$A:$A,$T$1,PrefFlows!$B:$B,$B94)+$AC94))+$AG94*(1-(SUMIFS(PrefFlows!$C:$C,PrefFlows!$A:$A,$U$1,PrefFlows!$B:$B,$B94)+$AC94)),2)</f>
        <v>5.01</v>
      </c>
      <c r="AJ94" s="4">
        <f t="shared" si="43"/>
        <v>55.42</v>
      </c>
      <c r="AK94" s="3">
        <f t="shared" si="44"/>
        <v>37.08</v>
      </c>
      <c r="AL94" s="4">
        <f t="shared" si="45"/>
        <v>59.91</v>
      </c>
      <c r="AM94" s="3">
        <f t="shared" si="45"/>
        <v>40.090000000000003</v>
      </c>
      <c r="AN94" s="1">
        <f t="shared" si="27"/>
        <v>8.58</v>
      </c>
      <c r="AO94" s="1">
        <f t="shared" si="28"/>
        <v>10.06</v>
      </c>
      <c r="AP94" s="3">
        <f t="shared" si="29"/>
        <v>9.91</v>
      </c>
      <c r="AQ94" s="1" t="b">
        <f t="shared" si="46"/>
        <v>0</v>
      </c>
      <c r="AR94" s="1" t="b">
        <f t="shared" si="46"/>
        <v>0</v>
      </c>
      <c r="AS94" s="3" t="b">
        <f t="shared" si="47"/>
        <v>0</v>
      </c>
      <c r="AT94" s="1">
        <f t="shared" si="48"/>
        <v>1.4800000000000004</v>
      </c>
      <c r="AU94" s="1">
        <f t="shared" si="48"/>
        <v>1.33</v>
      </c>
      <c r="AV94" s="3">
        <f t="shared" si="49"/>
        <v>0.15000000000000036</v>
      </c>
      <c r="AW94" s="1">
        <f>ROUND(IF($B94="NSW",N94*Meta!$B$6,N94),1)</f>
        <v>2772.5</v>
      </c>
      <c r="AX94" s="3">
        <f t="shared" si="30"/>
        <v>75376.899999999994</v>
      </c>
    </row>
    <row r="95" spans="1:50" x14ac:dyDescent="0.55000000000000004">
      <c r="A95" s="2" t="s">
        <v>106</v>
      </c>
      <c r="B95" s="3" t="s">
        <v>16</v>
      </c>
      <c r="C95" s="4">
        <v>43.15</v>
      </c>
      <c r="D95" s="5">
        <v>32.54</v>
      </c>
      <c r="E95" s="5">
        <v>0</v>
      </c>
      <c r="F95" s="5">
        <v>2.25</v>
      </c>
      <c r="G95" s="5">
        <v>0</v>
      </c>
      <c r="H95" s="5">
        <v>11.17</v>
      </c>
      <c r="I95" s="5">
        <v>10.89</v>
      </c>
      <c r="J95" s="3">
        <f t="shared" si="31"/>
        <v>13.14</v>
      </c>
      <c r="K95" s="4">
        <v>41.22</v>
      </c>
      <c r="L95" s="3">
        <v>58.78</v>
      </c>
      <c r="M95" s="4">
        <v>65449</v>
      </c>
      <c r="N95" s="5">
        <v>2005</v>
      </c>
      <c r="O95" s="3">
        <f t="shared" si="32"/>
        <v>63444</v>
      </c>
      <c r="P95" s="5">
        <f t="shared" si="33"/>
        <v>3.0634539870739049E-2</v>
      </c>
      <c r="Q95" s="4">
        <f>ROUND($C95+MIN($D95:$E95)*(1-SUMIFS(PrefFlows!$C:$C,PrefFlows!$A:$A,INDEX($D$1:$E$1,MATCH(MIN($D95:$E95),$D95:$E95,0)),PrefFlows!$B:$B,$B95)),2)</f>
        <v>43.15</v>
      </c>
      <c r="R95" s="5">
        <f>ROUND(MAX($D95:$E95)+MIN($D95:$E95)*SUMIFS(PrefFlows!$C:$C,PrefFlows!$A:$A,INDEX($D$1:$E$1,MATCH(MIN($D95:$E95),$D95:$E95,0)),PrefFlows!$B:$B,$B95),2)</f>
        <v>32.54</v>
      </c>
      <c r="S95" s="5">
        <f t="shared" si="34"/>
        <v>0</v>
      </c>
      <c r="T95" s="5">
        <f t="shared" si="35"/>
        <v>11.17</v>
      </c>
      <c r="U95" s="3">
        <f t="shared" si="36"/>
        <v>13.14</v>
      </c>
      <c r="V95" s="6">
        <f t="shared" si="37"/>
        <v>-10.61</v>
      </c>
      <c r="W95" s="4">
        <f>ROUND($S95*SUMIFS(PrefFlows!$C:$C,PrefFlows!$A:$A,$S$1,PrefFlows!$B:$B,$B95)+$T95*SUMIFS(PrefFlows!$C:$C,PrefFlows!$A:$A,$T$1,PrefFlows!$B:$B,$B95)+$U95*SUMIFS(PrefFlows!$C:$C,PrefFlows!$A:$A,$U$1,PrefFlows!$B:$B,$B95),2)</f>
        <v>9.67</v>
      </c>
      <c r="X95" s="3">
        <f>ROUND($S95*(1-SUMIFS(PrefFlows!$C:$C,PrefFlows!$A:$A,$S$1,PrefFlows!$B:$B,$B95))+$T95*(1-SUMIFS(PrefFlows!$C:$C,PrefFlows!$A:$A,$T$1,PrefFlows!$B:$B,$B95))+$U95*(1-SUMIFS(PrefFlows!$C:$C,PrefFlows!$A:$A,$U$1,PrefFlows!$B:$B,$B95)),2)</f>
        <v>14.64</v>
      </c>
      <c r="Y95" s="4">
        <f t="shared" si="38"/>
        <v>8.68</v>
      </c>
      <c r="Z95" s="3">
        <f t="shared" si="39"/>
        <v>15.63</v>
      </c>
      <c r="AA95" s="4">
        <f t="shared" si="40"/>
        <v>0.39779999999999999</v>
      </c>
      <c r="AB95" s="5">
        <f t="shared" si="41"/>
        <v>0.35709999999999997</v>
      </c>
      <c r="AC95" s="5">
        <f t="shared" si="42"/>
        <v>-4.07E-2</v>
      </c>
      <c r="AD95" s="3">
        <v>4.6948274195146099E-2</v>
      </c>
      <c r="AE95" s="4">
        <f>ROUND(S95*(1-(Exhaust!$B$2+AD95)),2)</f>
        <v>0</v>
      </c>
      <c r="AF95" s="5">
        <f>ROUND(T95*(1-(Exhaust!$B$3+$AD95)),2)</f>
        <v>6.18</v>
      </c>
      <c r="AG95" s="3">
        <f>ROUND(U95*(1-(Exhaust!$B$4+$AD95)),2)</f>
        <v>5.95</v>
      </c>
      <c r="AH95" s="4">
        <f>ROUND($AE95*(SUMIFS(PrefFlows!$C:$C,PrefFlows!$A:$A,$S$1,PrefFlows!$B:$B,$B95)+$AC95)+$AF95*(SUMIFS(PrefFlows!$C:$C,PrefFlows!$A:$A,$T$1,PrefFlows!$B:$B,$B95)+$AC95)+$AG95*(SUMIFS(PrefFlows!$C:$C,PrefFlows!$A:$A,$U$1,PrefFlows!$B:$B,$B95)+$AC95),2)</f>
        <v>4.13</v>
      </c>
      <c r="AI95" s="3">
        <f>ROUND($AE95*(1-(SUMIFS(PrefFlows!$C:$C,PrefFlows!$A:$A,$S$1,PrefFlows!$B:$B,$B95)+$AC95))+$AF95*(1-(SUMIFS(PrefFlows!$C:$C,PrefFlows!$A:$A,$T$1,PrefFlows!$B:$B,$B95)+$AC95))+$AG95*(1-(SUMIFS(PrefFlows!$C:$C,PrefFlows!$A:$A,$U$1,PrefFlows!$B:$B,$B95)+$AC95)),2)</f>
        <v>8</v>
      </c>
      <c r="AJ95" s="4">
        <f t="shared" si="43"/>
        <v>36.67</v>
      </c>
      <c r="AK95" s="3">
        <f t="shared" si="44"/>
        <v>51.15</v>
      </c>
      <c r="AL95" s="4">
        <f t="shared" si="45"/>
        <v>41.76</v>
      </c>
      <c r="AM95" s="3">
        <f t="shared" si="45"/>
        <v>58.24</v>
      </c>
      <c r="AN95" s="1">
        <f t="shared" si="27"/>
        <v>-8.7799999999999994</v>
      </c>
      <c r="AO95" s="1">
        <f t="shared" si="28"/>
        <v>-8.0500000000000007</v>
      </c>
      <c r="AP95" s="3">
        <f t="shared" si="29"/>
        <v>-8.24</v>
      </c>
      <c r="AQ95" s="1" t="b">
        <f t="shared" si="46"/>
        <v>0</v>
      </c>
      <c r="AR95" s="1" t="b">
        <f t="shared" si="46"/>
        <v>0</v>
      </c>
      <c r="AS95" s="3" t="b">
        <f t="shared" si="47"/>
        <v>0</v>
      </c>
      <c r="AT95" s="1">
        <f t="shared" si="48"/>
        <v>0.72999999999999865</v>
      </c>
      <c r="AU95" s="1">
        <f t="shared" si="48"/>
        <v>0.53999999999999915</v>
      </c>
      <c r="AV95" s="3">
        <f t="shared" si="49"/>
        <v>0.1899999999999995</v>
      </c>
      <c r="AW95" s="1">
        <f>ROUND(IF($B95="NSW",N95*Meta!$B$6,N95),1)</f>
        <v>2005</v>
      </c>
      <c r="AX95" s="3">
        <f t="shared" si="30"/>
        <v>56338.3</v>
      </c>
    </row>
    <row r="96" spans="1:50" x14ac:dyDescent="0.55000000000000004">
      <c r="A96" s="2" t="s">
        <v>107</v>
      </c>
      <c r="B96" s="3" t="s">
        <v>12</v>
      </c>
      <c r="C96" s="4">
        <v>43.97</v>
      </c>
      <c r="D96" s="5">
        <v>46.98</v>
      </c>
      <c r="E96" s="5">
        <v>0</v>
      </c>
      <c r="F96" s="5">
        <v>1.73</v>
      </c>
      <c r="G96" s="5">
        <v>0</v>
      </c>
      <c r="H96" s="5">
        <v>4.3499999999999996</v>
      </c>
      <c r="I96" s="5">
        <v>2.97</v>
      </c>
      <c r="J96" s="3">
        <f t="shared" si="31"/>
        <v>4.7</v>
      </c>
      <c r="K96" s="4">
        <v>50.72</v>
      </c>
      <c r="L96" s="3">
        <v>49.28</v>
      </c>
      <c r="M96" s="4">
        <v>80969</v>
      </c>
      <c r="N96" s="5">
        <v>4347</v>
      </c>
      <c r="O96" s="3">
        <f t="shared" si="32"/>
        <v>76622</v>
      </c>
      <c r="P96" s="5">
        <f t="shared" si="33"/>
        <v>5.3687213624967582E-2</v>
      </c>
      <c r="Q96" s="4">
        <f>ROUND($C96+MIN($D96:$E96)*(1-SUMIFS(PrefFlows!$C:$C,PrefFlows!$A:$A,INDEX($D$1:$E$1,MATCH(MIN($D96:$E96),$D96:$E96,0)),PrefFlows!$B:$B,$B96)),2)</f>
        <v>43.97</v>
      </c>
      <c r="R96" s="5">
        <f>ROUND(MAX($D96:$E96)+MIN($D96:$E96)*SUMIFS(PrefFlows!$C:$C,PrefFlows!$A:$A,INDEX($D$1:$E$1,MATCH(MIN($D96:$E96),$D96:$E96,0)),PrefFlows!$B:$B,$B96),2)</f>
        <v>46.98</v>
      </c>
      <c r="S96" s="5">
        <f t="shared" si="34"/>
        <v>0</v>
      </c>
      <c r="T96" s="5">
        <f t="shared" si="35"/>
        <v>4.3499999999999996</v>
      </c>
      <c r="U96" s="3">
        <f t="shared" si="36"/>
        <v>4.7</v>
      </c>
      <c r="V96" s="6">
        <f t="shared" si="37"/>
        <v>3.01</v>
      </c>
      <c r="W96" s="4">
        <f>ROUND($S96*SUMIFS(PrefFlows!$C:$C,PrefFlows!$A:$A,$S$1,PrefFlows!$B:$B,$B96)+$T96*SUMIFS(PrefFlows!$C:$C,PrefFlows!$A:$A,$T$1,PrefFlows!$B:$B,$B96)+$U96*SUMIFS(PrefFlows!$C:$C,PrefFlows!$A:$A,$U$1,PrefFlows!$B:$B,$B96),2)</f>
        <v>3.32</v>
      </c>
      <c r="X96" s="3">
        <f>ROUND($S96*(1-SUMIFS(PrefFlows!$C:$C,PrefFlows!$A:$A,$S$1,PrefFlows!$B:$B,$B96))+$T96*(1-SUMIFS(PrefFlows!$C:$C,PrefFlows!$A:$A,$T$1,PrefFlows!$B:$B,$B96))+$U96*(1-SUMIFS(PrefFlows!$C:$C,PrefFlows!$A:$A,$U$1,PrefFlows!$B:$B,$B96)),2)</f>
        <v>5.73</v>
      </c>
      <c r="Y96" s="4">
        <f t="shared" si="38"/>
        <v>3.74</v>
      </c>
      <c r="Z96" s="3">
        <f t="shared" si="39"/>
        <v>5.31</v>
      </c>
      <c r="AA96" s="4">
        <f t="shared" si="40"/>
        <v>0.3669</v>
      </c>
      <c r="AB96" s="5">
        <f t="shared" si="41"/>
        <v>0.4133</v>
      </c>
      <c r="AC96" s="5">
        <f t="shared" si="42"/>
        <v>4.6399999999999997E-2</v>
      </c>
      <c r="AD96" s="3">
        <v>5.2206272518075199E-2</v>
      </c>
      <c r="AE96" s="4">
        <f>ROUND(S96*(1-(Exhaust!$B$2+AD96)),2)</f>
        <v>0</v>
      </c>
      <c r="AF96" s="5">
        <f>ROUND(T96*(1-(Exhaust!$B$3+$AD96)),2)</f>
        <v>2.38</v>
      </c>
      <c r="AG96" s="3">
        <f>ROUND(U96*(1-(Exhaust!$B$4+$AD96)),2)</f>
        <v>2.1</v>
      </c>
      <c r="AH96" s="4">
        <f>ROUND($AE96*(SUMIFS(PrefFlows!$C:$C,PrefFlows!$A:$A,$S$1,PrefFlows!$B:$B,$B96)+$AC96)+$AF96*(SUMIFS(PrefFlows!$C:$C,PrefFlows!$A:$A,$T$1,PrefFlows!$B:$B,$B96)+$AC96)+$AG96*(SUMIFS(PrefFlows!$C:$C,PrefFlows!$A:$A,$U$1,PrefFlows!$B:$B,$B96)+$AC96),2)</f>
        <v>1.78</v>
      </c>
      <c r="AI96" s="3">
        <f>ROUND($AE96*(1-(SUMIFS(PrefFlows!$C:$C,PrefFlows!$A:$A,$S$1,PrefFlows!$B:$B,$B96)+$AC96))+$AF96*(1-(SUMIFS(PrefFlows!$C:$C,PrefFlows!$A:$A,$T$1,PrefFlows!$B:$B,$B96)+$AC96))+$AG96*(1-(SUMIFS(PrefFlows!$C:$C,PrefFlows!$A:$A,$U$1,PrefFlows!$B:$B,$B96)+$AC96)),2)</f>
        <v>2.7</v>
      </c>
      <c r="AJ96" s="4">
        <f t="shared" si="43"/>
        <v>48.76</v>
      </c>
      <c r="AK96" s="3">
        <f t="shared" si="44"/>
        <v>46.67</v>
      </c>
      <c r="AL96" s="4">
        <f t="shared" si="45"/>
        <v>51.1</v>
      </c>
      <c r="AM96" s="3">
        <f t="shared" si="45"/>
        <v>48.9</v>
      </c>
      <c r="AN96" s="1">
        <f t="shared" si="27"/>
        <v>0.72</v>
      </c>
      <c r="AO96" s="1">
        <f t="shared" si="28"/>
        <v>1.1499999999999999</v>
      </c>
      <c r="AP96" s="3">
        <f t="shared" si="29"/>
        <v>1.1000000000000001</v>
      </c>
      <c r="AQ96" s="1" t="b">
        <f t="shared" si="46"/>
        <v>0</v>
      </c>
      <c r="AR96" s="1" t="b">
        <f t="shared" si="46"/>
        <v>0</v>
      </c>
      <c r="AS96" s="3" t="b">
        <f t="shared" si="47"/>
        <v>0</v>
      </c>
      <c r="AT96" s="1">
        <f t="shared" si="48"/>
        <v>0.42999999999999994</v>
      </c>
      <c r="AU96" s="1">
        <f t="shared" si="48"/>
        <v>0.38000000000000012</v>
      </c>
      <c r="AV96" s="3">
        <f t="shared" si="49"/>
        <v>4.9999999999999822E-2</v>
      </c>
      <c r="AW96" s="1">
        <f>ROUND(IF($B96="NSW",N96*Meta!$B$6,N96),1)</f>
        <v>2856</v>
      </c>
      <c r="AX96" s="3">
        <f t="shared" si="30"/>
        <v>75505.7</v>
      </c>
    </row>
    <row r="97" spans="1:50" x14ac:dyDescent="0.55000000000000004">
      <c r="A97" s="2" t="s">
        <v>108</v>
      </c>
      <c r="B97" s="3" t="s">
        <v>12</v>
      </c>
      <c r="C97" s="4">
        <v>24.35</v>
      </c>
      <c r="D97" s="5">
        <v>56.41</v>
      </c>
      <c r="E97" s="5">
        <v>0</v>
      </c>
      <c r="F97" s="5">
        <v>0</v>
      </c>
      <c r="G97" s="5">
        <v>0</v>
      </c>
      <c r="H97" s="5">
        <v>11.72</v>
      </c>
      <c r="I97" s="5">
        <v>7.52</v>
      </c>
      <c r="J97" s="3">
        <f t="shared" si="31"/>
        <v>7.52</v>
      </c>
      <c r="K97" s="4">
        <v>62.42</v>
      </c>
      <c r="L97" s="3">
        <v>37.58</v>
      </c>
      <c r="M97" s="4">
        <v>88083</v>
      </c>
      <c r="N97" s="5">
        <v>4150</v>
      </c>
      <c r="O97" s="3">
        <f t="shared" si="32"/>
        <v>83933</v>
      </c>
      <c r="P97" s="5">
        <f t="shared" si="33"/>
        <v>4.7114653224799338E-2</v>
      </c>
      <c r="Q97" s="4">
        <f>ROUND($C97+MIN($D97:$E97)*(1-SUMIFS(PrefFlows!$C:$C,PrefFlows!$A:$A,INDEX($D$1:$E$1,MATCH(MIN($D97:$E97),$D97:$E97,0)),PrefFlows!$B:$B,$B97)),2)</f>
        <v>24.35</v>
      </c>
      <c r="R97" s="5">
        <f>ROUND(MAX($D97:$E97)+MIN($D97:$E97)*SUMIFS(PrefFlows!$C:$C,PrefFlows!$A:$A,INDEX($D$1:$E$1,MATCH(MIN($D97:$E97),$D97:$E97,0)),PrefFlows!$B:$B,$B97),2)</f>
        <v>56.41</v>
      </c>
      <c r="S97" s="5">
        <f t="shared" si="34"/>
        <v>0</v>
      </c>
      <c r="T97" s="5">
        <f t="shared" si="35"/>
        <v>11.72</v>
      </c>
      <c r="U97" s="3">
        <f t="shared" si="36"/>
        <v>7.52</v>
      </c>
      <c r="V97" s="6">
        <f t="shared" si="37"/>
        <v>32.06</v>
      </c>
      <c r="W97" s="4">
        <f>ROUND($S97*SUMIFS(PrefFlows!$C:$C,PrefFlows!$A:$A,$S$1,PrefFlows!$B:$B,$B97)+$T97*SUMIFS(PrefFlows!$C:$C,PrefFlows!$A:$A,$T$1,PrefFlows!$B:$B,$B97)+$U97*SUMIFS(PrefFlows!$C:$C,PrefFlows!$A:$A,$U$1,PrefFlows!$B:$B,$B97),2)</f>
        <v>6.23</v>
      </c>
      <c r="X97" s="3">
        <f>ROUND($S97*(1-SUMIFS(PrefFlows!$C:$C,PrefFlows!$A:$A,$S$1,PrefFlows!$B:$B,$B97))+$T97*(1-SUMIFS(PrefFlows!$C:$C,PrefFlows!$A:$A,$T$1,PrefFlows!$B:$B,$B97))+$U97*(1-SUMIFS(PrefFlows!$C:$C,PrefFlows!$A:$A,$U$1,PrefFlows!$B:$B,$B97)),2)</f>
        <v>13.01</v>
      </c>
      <c r="Y97" s="4">
        <f t="shared" si="38"/>
        <v>6.01</v>
      </c>
      <c r="Z97" s="3">
        <f t="shared" si="39"/>
        <v>13.23</v>
      </c>
      <c r="AA97" s="4">
        <f t="shared" si="40"/>
        <v>0.32379999999999998</v>
      </c>
      <c r="AB97" s="5">
        <f t="shared" si="41"/>
        <v>0.31240000000000001</v>
      </c>
      <c r="AC97" s="5">
        <f t="shared" si="42"/>
        <v>-1.14E-2</v>
      </c>
      <c r="AD97" s="3">
        <v>5.4542332513076303E-2</v>
      </c>
      <c r="AE97" s="4">
        <f>ROUND(S97*(1-(Exhaust!$B$2+AD97)),2)</f>
        <v>0</v>
      </c>
      <c r="AF97" s="5">
        <f>ROUND(T97*(1-(Exhaust!$B$3+$AD97)),2)</f>
        <v>6.39</v>
      </c>
      <c r="AG97" s="3">
        <f>ROUND(U97*(1-(Exhaust!$B$4+$AD97)),2)</f>
        <v>3.35</v>
      </c>
      <c r="AH97" s="4">
        <f>ROUND($AE97*(SUMIFS(PrefFlows!$C:$C,PrefFlows!$A:$A,$S$1,PrefFlows!$B:$B,$B97)+$AC97)+$AF97*(SUMIFS(PrefFlows!$C:$C,PrefFlows!$A:$A,$T$1,PrefFlows!$B:$B,$B97)+$AC97)+$AG97*(SUMIFS(PrefFlows!$C:$C,PrefFlows!$A:$A,$U$1,PrefFlows!$B:$B,$B97)+$AC97),2)</f>
        <v>2.89</v>
      </c>
      <c r="AI97" s="3">
        <f>ROUND($AE97*(1-(SUMIFS(PrefFlows!$C:$C,PrefFlows!$A:$A,$S$1,PrefFlows!$B:$B,$B97)+$AC97))+$AF97*(1-(SUMIFS(PrefFlows!$C:$C,PrefFlows!$A:$A,$T$1,PrefFlows!$B:$B,$B97)+$AC97))+$AG97*(1-(SUMIFS(PrefFlows!$C:$C,PrefFlows!$A:$A,$U$1,PrefFlows!$B:$B,$B97)+$AC97)),2)</f>
        <v>6.85</v>
      </c>
      <c r="AJ97" s="4">
        <f t="shared" si="43"/>
        <v>59.3</v>
      </c>
      <c r="AK97" s="3">
        <f t="shared" si="44"/>
        <v>31.2</v>
      </c>
      <c r="AL97" s="4">
        <f t="shared" si="45"/>
        <v>65.52</v>
      </c>
      <c r="AM97" s="3">
        <f t="shared" si="45"/>
        <v>34.479999999999997</v>
      </c>
      <c r="AN97" s="1">
        <f t="shared" si="27"/>
        <v>12.42</v>
      </c>
      <c r="AO97" s="1">
        <f t="shared" si="28"/>
        <v>15.59</v>
      </c>
      <c r="AP97" s="3">
        <f t="shared" si="29"/>
        <v>15.52</v>
      </c>
      <c r="AQ97" s="1" t="b">
        <f t="shared" si="46"/>
        <v>0</v>
      </c>
      <c r="AR97" s="1" t="b">
        <f t="shared" si="46"/>
        <v>0</v>
      </c>
      <c r="AS97" s="3" t="b">
        <f t="shared" si="47"/>
        <v>0</v>
      </c>
      <c r="AT97" s="1">
        <f t="shared" si="48"/>
        <v>3.17</v>
      </c>
      <c r="AU97" s="1">
        <f t="shared" si="48"/>
        <v>3.0999999999999996</v>
      </c>
      <c r="AV97" s="3">
        <f t="shared" si="49"/>
        <v>7.0000000000000284E-2</v>
      </c>
      <c r="AW97" s="1">
        <f>ROUND(IF($B97="NSW",N97*Meta!$B$6,N97),1)</f>
        <v>2726.6</v>
      </c>
      <c r="AX97" s="3">
        <f t="shared" si="30"/>
        <v>78118.899999999994</v>
      </c>
    </row>
    <row r="98" spans="1:50" x14ac:dyDescent="0.55000000000000004">
      <c r="A98" s="2" t="s">
        <v>109</v>
      </c>
      <c r="B98" s="3" t="s">
        <v>12</v>
      </c>
      <c r="C98" s="4">
        <v>44.08</v>
      </c>
      <c r="D98" s="5">
        <v>37.840000000000003</v>
      </c>
      <c r="E98" s="5">
        <v>0</v>
      </c>
      <c r="F98" s="5">
        <v>0.53</v>
      </c>
      <c r="G98" s="5">
        <v>0</v>
      </c>
      <c r="H98" s="5">
        <v>10.36</v>
      </c>
      <c r="I98" s="5">
        <v>7.19</v>
      </c>
      <c r="J98" s="3">
        <f t="shared" si="31"/>
        <v>7.72</v>
      </c>
      <c r="K98" s="4">
        <v>42.96</v>
      </c>
      <c r="L98" s="3">
        <v>57.04</v>
      </c>
      <c r="M98" s="4">
        <v>90967</v>
      </c>
      <c r="N98" s="5">
        <v>3240</v>
      </c>
      <c r="O98" s="3">
        <f t="shared" si="32"/>
        <v>87727</v>
      </c>
      <c r="P98" s="5">
        <f t="shared" si="33"/>
        <v>3.5617311772400982E-2</v>
      </c>
      <c r="Q98" s="4">
        <f>ROUND($C98+MIN($D98:$E98)*(1-SUMIFS(PrefFlows!$C:$C,PrefFlows!$A:$A,INDEX($D$1:$E$1,MATCH(MIN($D98:$E98),$D98:$E98,0)),PrefFlows!$B:$B,$B98)),2)</f>
        <v>44.08</v>
      </c>
      <c r="R98" s="5">
        <f>ROUND(MAX($D98:$E98)+MIN($D98:$E98)*SUMIFS(PrefFlows!$C:$C,PrefFlows!$A:$A,INDEX($D$1:$E$1,MATCH(MIN($D98:$E98),$D98:$E98,0)),PrefFlows!$B:$B,$B98),2)</f>
        <v>37.840000000000003</v>
      </c>
      <c r="S98" s="5">
        <f t="shared" si="34"/>
        <v>0</v>
      </c>
      <c r="T98" s="5">
        <f t="shared" si="35"/>
        <v>10.36</v>
      </c>
      <c r="U98" s="3">
        <f t="shared" si="36"/>
        <v>7.72</v>
      </c>
      <c r="V98" s="6">
        <f t="shared" si="37"/>
        <v>-6.24</v>
      </c>
      <c r="W98" s="4">
        <f>ROUND($S98*SUMIFS(PrefFlows!$C:$C,PrefFlows!$A:$A,$S$1,PrefFlows!$B:$B,$B98)+$T98*SUMIFS(PrefFlows!$C:$C,PrefFlows!$A:$A,$T$1,PrefFlows!$B:$B,$B98)+$U98*SUMIFS(PrefFlows!$C:$C,PrefFlows!$A:$A,$U$1,PrefFlows!$B:$B,$B98),2)</f>
        <v>6.07</v>
      </c>
      <c r="X98" s="3">
        <f>ROUND($S98*(1-SUMIFS(PrefFlows!$C:$C,PrefFlows!$A:$A,$S$1,PrefFlows!$B:$B,$B98))+$T98*(1-SUMIFS(PrefFlows!$C:$C,PrefFlows!$A:$A,$T$1,PrefFlows!$B:$B,$B98))+$U98*(1-SUMIFS(PrefFlows!$C:$C,PrefFlows!$A:$A,$U$1,PrefFlows!$B:$B,$B98)),2)</f>
        <v>12.01</v>
      </c>
      <c r="Y98" s="4">
        <f t="shared" si="38"/>
        <v>5.12</v>
      </c>
      <c r="Z98" s="3">
        <f t="shared" si="39"/>
        <v>12.96</v>
      </c>
      <c r="AA98" s="4">
        <f t="shared" si="40"/>
        <v>0.3357</v>
      </c>
      <c r="AB98" s="5">
        <f t="shared" si="41"/>
        <v>0.28320000000000001</v>
      </c>
      <c r="AC98" s="5">
        <f t="shared" si="42"/>
        <v>-5.2499999999999998E-2</v>
      </c>
      <c r="AD98" s="3">
        <v>-3.8127375059398901E-2</v>
      </c>
      <c r="AE98" s="4">
        <f>ROUND(S98*(1-(Exhaust!$B$2+AD98)),2)</f>
        <v>0</v>
      </c>
      <c r="AF98" s="5">
        <f>ROUND(T98*(1-(Exhaust!$B$3+$AD98)),2)</f>
        <v>6.61</v>
      </c>
      <c r="AG98" s="3">
        <f>ROUND(U98*(1-(Exhaust!$B$4+$AD98)),2)</f>
        <v>4.1500000000000004</v>
      </c>
      <c r="AH98" s="4">
        <f>ROUND($AE98*(SUMIFS(PrefFlows!$C:$C,PrefFlows!$A:$A,$S$1,PrefFlows!$B:$B,$B98)+$AC98)+$AF98*(SUMIFS(PrefFlows!$C:$C,PrefFlows!$A:$A,$T$1,PrefFlows!$B:$B,$B98)+$AC98)+$AG98*(SUMIFS(PrefFlows!$C:$C,PrefFlows!$A:$A,$U$1,PrefFlows!$B:$B,$B98)+$AC98),2)</f>
        <v>2.9</v>
      </c>
      <c r="AI98" s="3">
        <f>ROUND($AE98*(1-(SUMIFS(PrefFlows!$C:$C,PrefFlows!$A:$A,$S$1,PrefFlows!$B:$B,$B98)+$AC98))+$AF98*(1-(SUMIFS(PrefFlows!$C:$C,PrefFlows!$A:$A,$T$1,PrefFlows!$B:$B,$B98)+$AC98))+$AG98*(1-(SUMIFS(PrefFlows!$C:$C,PrefFlows!$A:$A,$U$1,PrefFlows!$B:$B,$B98)+$AC98)),2)</f>
        <v>7.86</v>
      </c>
      <c r="AJ98" s="4">
        <f t="shared" si="43"/>
        <v>40.74</v>
      </c>
      <c r="AK98" s="3">
        <f t="shared" si="44"/>
        <v>51.94</v>
      </c>
      <c r="AL98" s="4">
        <f t="shared" si="45"/>
        <v>43.96</v>
      </c>
      <c r="AM98" s="3">
        <f t="shared" si="45"/>
        <v>56.04</v>
      </c>
      <c r="AN98" s="1">
        <f t="shared" ref="AN98:AN129" si="50">ROUND(K98-50,2)</f>
        <v>-7.04</v>
      </c>
      <c r="AO98" s="1">
        <f t="shared" ref="AO98:AO129" si="51">ROUND((R98+Y98*0.52)/((R98+Y98*0.52)+(Q98+Z98*0.52))*100-50,2)</f>
        <v>-5.65</v>
      </c>
      <c r="AP98" s="3">
        <f t="shared" ref="AP98:AP129" si="52">ROUND(AL98-50,2)</f>
        <v>-6.04</v>
      </c>
      <c r="AQ98" s="1" t="b">
        <f t="shared" si="46"/>
        <v>0</v>
      </c>
      <c r="AR98" s="1" t="b">
        <f t="shared" si="46"/>
        <v>0</v>
      </c>
      <c r="AS98" s="3" t="b">
        <f t="shared" si="47"/>
        <v>0</v>
      </c>
      <c r="AT98" s="1">
        <f t="shared" si="48"/>
        <v>1.3899999999999997</v>
      </c>
      <c r="AU98" s="1">
        <f t="shared" si="48"/>
        <v>1</v>
      </c>
      <c r="AV98" s="3">
        <f t="shared" si="49"/>
        <v>0.38999999999999968</v>
      </c>
      <c r="AW98" s="1">
        <f>ROUND(IF($B98="NSW",N98*Meta!$B$6,N98),1)</f>
        <v>2128.6999999999998</v>
      </c>
      <c r="AX98" s="3">
        <f t="shared" ref="AX98:AX129" si="53">ROUND((M98-AW98*($AW$153/$AW$152))*SUM($AJ98:$AK98)/100,1)</f>
        <v>83032</v>
      </c>
    </row>
    <row r="99" spans="1:50" x14ac:dyDescent="0.55000000000000004">
      <c r="A99" s="2" t="s">
        <v>110</v>
      </c>
      <c r="B99" s="3" t="s">
        <v>7</v>
      </c>
      <c r="C99" s="4">
        <v>51.45</v>
      </c>
      <c r="D99" s="5">
        <v>38.270000000000003</v>
      </c>
      <c r="E99" s="5">
        <v>0</v>
      </c>
      <c r="F99" s="5">
        <v>3.55</v>
      </c>
      <c r="G99" s="5">
        <v>0.57999999999999996</v>
      </c>
      <c r="H99" s="5">
        <v>4.3</v>
      </c>
      <c r="I99" s="5">
        <v>2.4300000000000002</v>
      </c>
      <c r="J99" s="3">
        <f t="shared" si="31"/>
        <v>5.4</v>
      </c>
      <c r="K99" s="4">
        <v>42.3</v>
      </c>
      <c r="L99" s="3">
        <v>57.7</v>
      </c>
      <c r="M99" s="4">
        <v>90960</v>
      </c>
      <c r="N99" s="5">
        <v>3705</v>
      </c>
      <c r="O99" s="3">
        <f t="shared" si="32"/>
        <v>87255</v>
      </c>
      <c r="P99" s="5">
        <f t="shared" si="33"/>
        <v>4.0732189973614774E-2</v>
      </c>
      <c r="Q99" s="4">
        <f>ROUND($C99+MIN($D99:$E99)*(1-SUMIFS(PrefFlows!$C:$C,PrefFlows!$A:$A,INDEX($D$1:$E$1,MATCH(MIN($D99:$E99),$D99:$E99,0)),PrefFlows!$B:$B,$B99)),2)</f>
        <v>51.45</v>
      </c>
      <c r="R99" s="5">
        <f>ROUND(MAX($D99:$E99)+MIN($D99:$E99)*SUMIFS(PrefFlows!$C:$C,PrefFlows!$A:$A,INDEX($D$1:$E$1,MATCH(MIN($D99:$E99),$D99:$E99,0)),PrefFlows!$B:$B,$B99),2)</f>
        <v>38.270000000000003</v>
      </c>
      <c r="S99" s="5">
        <f t="shared" si="34"/>
        <v>0.57999999999999996</v>
      </c>
      <c r="T99" s="5">
        <f t="shared" si="35"/>
        <v>4.3</v>
      </c>
      <c r="U99" s="3">
        <f t="shared" si="36"/>
        <v>5.4</v>
      </c>
      <c r="V99" s="6">
        <f t="shared" si="37"/>
        <v>-13.18</v>
      </c>
      <c r="W99" s="4">
        <f>ROUND($S99*SUMIFS(PrefFlows!$C:$C,PrefFlows!$A:$A,$S$1,PrefFlows!$B:$B,$B99)+$T99*SUMIFS(PrefFlows!$C:$C,PrefFlows!$A:$A,$T$1,PrefFlows!$B:$B,$B99)+$U99*SUMIFS(PrefFlows!$C:$C,PrefFlows!$A:$A,$U$1,PrefFlows!$B:$B,$B99),2)</f>
        <v>4.04</v>
      </c>
      <c r="X99" s="3">
        <f>ROUND($S99*(1-SUMIFS(PrefFlows!$C:$C,PrefFlows!$A:$A,$S$1,PrefFlows!$B:$B,$B99))+$T99*(1-SUMIFS(PrefFlows!$C:$C,PrefFlows!$A:$A,$T$1,PrefFlows!$B:$B,$B99))+$U99*(1-SUMIFS(PrefFlows!$C:$C,PrefFlows!$A:$A,$U$1,PrefFlows!$B:$B,$B99)),2)</f>
        <v>6.24</v>
      </c>
      <c r="Y99" s="4">
        <f t="shared" si="38"/>
        <v>4.03</v>
      </c>
      <c r="Z99" s="3">
        <f t="shared" si="39"/>
        <v>6.25</v>
      </c>
      <c r="AA99" s="4">
        <f t="shared" si="40"/>
        <v>0.39300000000000002</v>
      </c>
      <c r="AB99" s="5">
        <f t="shared" si="41"/>
        <v>0.39200000000000002</v>
      </c>
      <c r="AC99" s="5">
        <f t="shared" si="42"/>
        <v>-1E-3</v>
      </c>
      <c r="AD99" s="3">
        <v>2.2341077844345102E-2</v>
      </c>
      <c r="AE99" s="4">
        <f>ROUND(S99*(1-(Exhaust!$B$2+AD99)),2)</f>
        <v>0.24</v>
      </c>
      <c r="AF99" s="5">
        <f>ROUND(T99*(1-(Exhaust!$B$3+$AD99)),2)</f>
        <v>2.48</v>
      </c>
      <c r="AG99" s="3">
        <f>ROUND(U99*(1-(Exhaust!$B$4+$AD99)),2)</f>
        <v>2.58</v>
      </c>
      <c r="AH99" s="4">
        <f>ROUND($AE99*(SUMIFS(PrefFlows!$C:$C,PrefFlows!$A:$A,$S$1,PrefFlows!$B:$B,$B99)+$AC99)+$AF99*(SUMIFS(PrefFlows!$C:$C,PrefFlows!$A:$A,$T$1,PrefFlows!$B:$B,$B99)+$AC99)+$AG99*(SUMIFS(PrefFlows!$C:$C,PrefFlows!$A:$A,$U$1,PrefFlows!$B:$B,$B99)+$AC99),2)</f>
        <v>2</v>
      </c>
      <c r="AI99" s="3">
        <f>ROUND($AE99*(1-(SUMIFS(PrefFlows!$C:$C,PrefFlows!$A:$A,$S$1,PrefFlows!$B:$B,$B99)+$AC99))+$AF99*(1-(SUMIFS(PrefFlows!$C:$C,PrefFlows!$A:$A,$T$1,PrefFlows!$B:$B,$B99)+$AC99))+$AG99*(1-(SUMIFS(PrefFlows!$C:$C,PrefFlows!$A:$A,$U$1,PrefFlows!$B:$B,$B99)+$AC99)),2)</f>
        <v>3.3</v>
      </c>
      <c r="AJ99" s="4">
        <f t="shared" si="43"/>
        <v>40.270000000000003</v>
      </c>
      <c r="AK99" s="3">
        <f t="shared" si="44"/>
        <v>54.75</v>
      </c>
      <c r="AL99" s="4">
        <f t="shared" si="45"/>
        <v>42.38</v>
      </c>
      <c r="AM99" s="3">
        <f t="shared" si="45"/>
        <v>57.62</v>
      </c>
      <c r="AN99" s="1">
        <f t="shared" si="50"/>
        <v>-7.7</v>
      </c>
      <c r="AO99" s="1">
        <f t="shared" si="51"/>
        <v>-7.54</v>
      </c>
      <c r="AP99" s="3">
        <f t="shared" si="52"/>
        <v>-7.62</v>
      </c>
      <c r="AQ99" s="1" t="b">
        <f t="shared" si="46"/>
        <v>0</v>
      </c>
      <c r="AR99" s="1" t="b">
        <f t="shared" si="46"/>
        <v>0</v>
      </c>
      <c r="AS99" s="3" t="b">
        <f t="shared" si="47"/>
        <v>0</v>
      </c>
      <c r="AT99" s="1">
        <f t="shared" si="48"/>
        <v>0.16000000000000014</v>
      </c>
      <c r="AU99" s="1">
        <f t="shared" si="48"/>
        <v>8.0000000000000071E-2</v>
      </c>
      <c r="AV99" s="3">
        <f t="shared" si="49"/>
        <v>8.0000000000000071E-2</v>
      </c>
      <c r="AW99" s="1">
        <f>ROUND(IF($B99="NSW",N99*Meta!$B$6,N99),1)</f>
        <v>3705</v>
      </c>
      <c r="AX99" s="3">
        <f t="shared" si="53"/>
        <v>84152.9</v>
      </c>
    </row>
    <row r="100" spans="1:50" x14ac:dyDescent="0.55000000000000004">
      <c r="A100" s="2" t="s">
        <v>111</v>
      </c>
      <c r="B100" s="3" t="s">
        <v>9</v>
      </c>
      <c r="C100" s="4">
        <v>21.85</v>
      </c>
      <c r="D100" s="5">
        <v>0</v>
      </c>
      <c r="E100" s="5">
        <v>63.94</v>
      </c>
      <c r="F100" s="5">
        <v>6.53</v>
      </c>
      <c r="G100" s="5">
        <v>0</v>
      </c>
      <c r="H100" s="5">
        <v>4.17</v>
      </c>
      <c r="I100" s="5">
        <v>3.51</v>
      </c>
      <c r="J100" s="3">
        <f t="shared" si="31"/>
        <v>10.039999999999999</v>
      </c>
      <c r="K100" s="4">
        <v>71.27</v>
      </c>
      <c r="L100" s="3">
        <v>28.73</v>
      </c>
      <c r="M100" s="4">
        <v>86341</v>
      </c>
      <c r="N100" s="5">
        <v>3101</v>
      </c>
      <c r="O100" s="3">
        <f t="shared" si="32"/>
        <v>83240</v>
      </c>
      <c r="P100" s="5">
        <f t="shared" si="33"/>
        <v>3.5915729491203481E-2</v>
      </c>
      <c r="Q100" s="4">
        <f>ROUND($C100+MIN($D100:$E100)*(1-SUMIFS(PrefFlows!$C:$C,PrefFlows!$A:$A,INDEX($D$1:$E$1,MATCH(MIN($D100:$E100),$D100:$E100,0)),PrefFlows!$B:$B,$B100)),2)</f>
        <v>21.85</v>
      </c>
      <c r="R100" s="5">
        <f>ROUND(MAX($D100:$E100)+MIN($D100:$E100)*SUMIFS(PrefFlows!$C:$C,PrefFlows!$A:$A,INDEX($D$1:$E$1,MATCH(MIN($D100:$E100),$D100:$E100,0)),PrefFlows!$B:$B,$B100),2)</f>
        <v>63.94</v>
      </c>
      <c r="S100" s="5">
        <f t="shared" si="34"/>
        <v>0</v>
      </c>
      <c r="T100" s="5">
        <f t="shared" si="35"/>
        <v>4.17</v>
      </c>
      <c r="U100" s="3">
        <f t="shared" si="36"/>
        <v>10.039999999999999</v>
      </c>
      <c r="V100" s="6">
        <f t="shared" si="37"/>
        <v>42.09</v>
      </c>
      <c r="W100" s="4">
        <f>ROUND($S100*SUMIFS(PrefFlows!$C:$C,PrefFlows!$A:$A,$S$1,PrefFlows!$B:$B,$B100)+$T100*SUMIFS(PrefFlows!$C:$C,PrefFlows!$A:$A,$T$1,PrefFlows!$B:$B,$B100)+$U100*SUMIFS(PrefFlows!$C:$C,PrefFlows!$A:$A,$U$1,PrefFlows!$B:$B,$B100),2)</f>
        <v>6.06</v>
      </c>
      <c r="X100" s="3">
        <f>ROUND($S100*(1-SUMIFS(PrefFlows!$C:$C,PrefFlows!$A:$A,$S$1,PrefFlows!$B:$B,$B100))+$T100*(1-SUMIFS(PrefFlows!$C:$C,PrefFlows!$A:$A,$T$1,PrefFlows!$B:$B,$B100))+$U100*(1-SUMIFS(PrefFlows!$C:$C,PrefFlows!$A:$A,$U$1,PrefFlows!$B:$B,$B100)),2)</f>
        <v>8.15</v>
      </c>
      <c r="Y100" s="4">
        <f t="shared" si="38"/>
        <v>7.33</v>
      </c>
      <c r="Z100" s="3">
        <f t="shared" si="39"/>
        <v>6.88</v>
      </c>
      <c r="AA100" s="4">
        <f t="shared" si="40"/>
        <v>0.42649999999999999</v>
      </c>
      <c r="AB100" s="5">
        <f t="shared" si="41"/>
        <v>0.51580000000000004</v>
      </c>
      <c r="AC100" s="5">
        <f t="shared" si="42"/>
        <v>8.9300000000000004E-2</v>
      </c>
      <c r="AD100" s="3">
        <v>-2.6196803474896099E-2</v>
      </c>
      <c r="AE100" s="4">
        <f>ROUND(S100*(1-(Exhaust!$B$2+AD100)),2)</f>
        <v>0</v>
      </c>
      <c r="AF100" s="5">
        <f>ROUND(T100*(1-(Exhaust!$B$3+$AD100)),2)</f>
        <v>2.61</v>
      </c>
      <c r="AG100" s="3">
        <f>ROUND(U100*(1-(Exhaust!$B$4+$AD100)),2)</f>
        <v>5.28</v>
      </c>
      <c r="AH100" s="4">
        <f>ROUND($AE100*(SUMIFS(PrefFlows!$C:$C,PrefFlows!$A:$A,$S$1,PrefFlows!$B:$B,$B100)+$AC100)+$AF100*(SUMIFS(PrefFlows!$C:$C,PrefFlows!$A:$A,$T$1,PrefFlows!$B:$B,$B100)+$AC100)+$AG100*(SUMIFS(PrefFlows!$C:$C,PrefFlows!$A:$A,$U$1,PrefFlows!$B:$B,$B100)+$AC100),2)</f>
        <v>3.96</v>
      </c>
      <c r="AI100" s="3">
        <f>ROUND($AE100*(1-(SUMIFS(PrefFlows!$C:$C,PrefFlows!$A:$A,$S$1,PrefFlows!$B:$B,$B100)+$AC100))+$AF100*(1-(SUMIFS(PrefFlows!$C:$C,PrefFlows!$A:$A,$T$1,PrefFlows!$B:$B,$B100)+$AC100))+$AG100*(1-(SUMIFS(PrefFlows!$C:$C,PrefFlows!$A:$A,$U$1,PrefFlows!$B:$B,$B100)+$AC100)),2)</f>
        <v>3.93</v>
      </c>
      <c r="AJ100" s="4">
        <f t="shared" si="43"/>
        <v>67.900000000000006</v>
      </c>
      <c r="AK100" s="3">
        <f t="shared" si="44"/>
        <v>25.78</v>
      </c>
      <c r="AL100" s="4">
        <f t="shared" si="45"/>
        <v>72.48</v>
      </c>
      <c r="AM100" s="3">
        <f t="shared" si="45"/>
        <v>27.52</v>
      </c>
      <c r="AN100" s="1">
        <f t="shared" si="50"/>
        <v>21.27</v>
      </c>
      <c r="AO100" s="1">
        <f t="shared" si="51"/>
        <v>22.71</v>
      </c>
      <c r="AP100" s="3">
        <f t="shared" si="52"/>
        <v>22.48</v>
      </c>
      <c r="AQ100" s="1" t="b">
        <f t="shared" si="46"/>
        <v>0</v>
      </c>
      <c r="AR100" s="1" t="b">
        <f t="shared" si="46"/>
        <v>0</v>
      </c>
      <c r="AS100" s="3" t="b">
        <f t="shared" si="47"/>
        <v>0</v>
      </c>
      <c r="AT100" s="1">
        <f t="shared" si="48"/>
        <v>1.4400000000000013</v>
      </c>
      <c r="AU100" s="1">
        <f t="shared" si="48"/>
        <v>1.2100000000000009</v>
      </c>
      <c r="AV100" s="3">
        <f t="shared" si="49"/>
        <v>0.23000000000000043</v>
      </c>
      <c r="AW100" s="1">
        <f>ROUND(IF($B100="NSW",N100*Meta!$B$6,N100),1)</f>
        <v>3101</v>
      </c>
      <c r="AX100" s="3">
        <f t="shared" si="53"/>
        <v>79005.100000000006</v>
      </c>
    </row>
    <row r="101" spans="1:50" x14ac:dyDescent="0.55000000000000004">
      <c r="A101" s="2" t="s">
        <v>112</v>
      </c>
      <c r="B101" s="3" t="s">
        <v>22</v>
      </c>
      <c r="C101" s="4">
        <v>29.46</v>
      </c>
      <c r="D101" s="5">
        <v>0</v>
      </c>
      <c r="E101" s="5">
        <v>58.57</v>
      </c>
      <c r="F101" s="5">
        <v>3.84</v>
      </c>
      <c r="G101" s="5">
        <v>3.51</v>
      </c>
      <c r="H101" s="5">
        <v>3.35</v>
      </c>
      <c r="I101" s="5">
        <v>4.78</v>
      </c>
      <c r="J101" s="3">
        <f t="shared" si="31"/>
        <v>5.1100000000000003</v>
      </c>
      <c r="K101" s="4">
        <v>64.44</v>
      </c>
      <c r="L101" s="3">
        <v>35.56</v>
      </c>
      <c r="M101" s="4">
        <v>81959</v>
      </c>
      <c r="N101" s="5">
        <v>2920</v>
      </c>
      <c r="O101" s="3">
        <f t="shared" si="32"/>
        <v>79039</v>
      </c>
      <c r="P101" s="5">
        <f t="shared" si="33"/>
        <v>3.5627569882502229E-2</v>
      </c>
      <c r="Q101" s="4">
        <f>ROUND($C101+MIN($D101:$E101)*(1-SUMIFS(PrefFlows!$C:$C,PrefFlows!$A:$A,INDEX($D$1:$E$1,MATCH(MIN($D101:$E101),$D101:$E101,0)),PrefFlows!$B:$B,$B101)),2)</f>
        <v>29.46</v>
      </c>
      <c r="R101" s="5">
        <f>ROUND(MAX($D101:$E101)+MIN($D101:$E101)*SUMIFS(PrefFlows!$C:$C,PrefFlows!$A:$A,INDEX($D$1:$E$1,MATCH(MIN($D101:$E101),$D101:$E101,0)),PrefFlows!$B:$B,$B101),2)</f>
        <v>58.57</v>
      </c>
      <c r="S101" s="5">
        <f t="shared" si="34"/>
        <v>3.51</v>
      </c>
      <c r="T101" s="5">
        <f t="shared" si="35"/>
        <v>3.35</v>
      </c>
      <c r="U101" s="3">
        <f t="shared" si="36"/>
        <v>5.1100000000000003</v>
      </c>
      <c r="V101" s="6">
        <f t="shared" si="37"/>
        <v>29.11</v>
      </c>
      <c r="W101" s="4">
        <f>ROUND($S101*SUMIFS(PrefFlows!$C:$C,PrefFlows!$A:$A,$S$1,PrefFlows!$B:$B,$B101)+$T101*SUMIFS(PrefFlows!$C:$C,PrefFlows!$A:$A,$T$1,PrefFlows!$B:$B,$B101)+$U101*SUMIFS(PrefFlows!$C:$C,PrefFlows!$A:$A,$U$1,PrefFlows!$B:$B,$B101),2)</f>
        <v>5.35</v>
      </c>
      <c r="X101" s="3">
        <f>ROUND($S101*(1-SUMIFS(PrefFlows!$C:$C,PrefFlows!$A:$A,$S$1,PrefFlows!$B:$B,$B101))+$T101*(1-SUMIFS(PrefFlows!$C:$C,PrefFlows!$A:$A,$T$1,PrefFlows!$B:$B,$B101))+$U101*(1-SUMIFS(PrefFlows!$C:$C,PrefFlows!$A:$A,$U$1,PrefFlows!$B:$B,$B101)),2)</f>
        <v>6.62</v>
      </c>
      <c r="Y101" s="4">
        <f t="shared" si="38"/>
        <v>5.87</v>
      </c>
      <c r="Z101" s="3">
        <f t="shared" si="39"/>
        <v>6.1</v>
      </c>
      <c r="AA101" s="4">
        <f t="shared" si="40"/>
        <v>0.44700000000000001</v>
      </c>
      <c r="AB101" s="5">
        <f t="shared" si="41"/>
        <v>0.4904</v>
      </c>
      <c r="AC101" s="5">
        <f t="shared" si="42"/>
        <v>4.3400000000000001E-2</v>
      </c>
      <c r="AD101" s="3">
        <v>2.5630231320613799E-2</v>
      </c>
      <c r="AE101" s="4">
        <f>ROUND(S101*(1-(Exhaust!$B$2+AD101)),2)</f>
        <v>1.45</v>
      </c>
      <c r="AF101" s="5">
        <f>ROUND(T101*(1-(Exhaust!$B$3+$AD101)),2)</f>
        <v>1.92</v>
      </c>
      <c r="AG101" s="3">
        <f>ROUND(U101*(1-(Exhaust!$B$4+$AD101)),2)</f>
        <v>2.42</v>
      </c>
      <c r="AH101" s="4">
        <f>ROUND($AE101*(SUMIFS(PrefFlows!$C:$C,PrefFlows!$A:$A,$S$1,PrefFlows!$B:$B,$B101)+$AC101)+$AF101*(SUMIFS(PrefFlows!$C:$C,PrefFlows!$A:$A,$T$1,PrefFlows!$B:$B,$B101)+$AC101)+$AG101*(SUMIFS(PrefFlows!$C:$C,PrefFlows!$A:$A,$U$1,PrefFlows!$B:$B,$B101)+$AC101),2)</f>
        <v>2.75</v>
      </c>
      <c r="AI101" s="3">
        <f>ROUND($AE101*(1-(SUMIFS(PrefFlows!$C:$C,PrefFlows!$A:$A,$S$1,PrefFlows!$B:$B,$B101)+$AC101))+$AF101*(1-(SUMIFS(PrefFlows!$C:$C,PrefFlows!$A:$A,$T$1,PrefFlows!$B:$B,$B101)+$AC101))+$AG101*(1-(SUMIFS(PrefFlows!$C:$C,PrefFlows!$A:$A,$U$1,PrefFlows!$B:$B,$B101)+$AC101)),2)</f>
        <v>3.04</v>
      </c>
      <c r="AJ101" s="4">
        <f t="shared" si="43"/>
        <v>61.32</v>
      </c>
      <c r="AK101" s="3">
        <f t="shared" si="44"/>
        <v>32.5</v>
      </c>
      <c r="AL101" s="4">
        <f t="shared" si="45"/>
        <v>65.36</v>
      </c>
      <c r="AM101" s="3">
        <f t="shared" si="45"/>
        <v>34.64</v>
      </c>
      <c r="AN101" s="1">
        <f t="shared" si="50"/>
        <v>14.44</v>
      </c>
      <c r="AO101" s="1">
        <f t="shared" si="51"/>
        <v>15.38</v>
      </c>
      <c r="AP101" s="3">
        <f t="shared" si="52"/>
        <v>15.36</v>
      </c>
      <c r="AQ101" s="1" t="b">
        <f t="shared" si="46"/>
        <v>0</v>
      </c>
      <c r="AR101" s="1" t="b">
        <f t="shared" si="46"/>
        <v>0</v>
      </c>
      <c r="AS101" s="3" t="b">
        <f t="shared" si="47"/>
        <v>0</v>
      </c>
      <c r="AT101" s="1">
        <f t="shared" si="48"/>
        <v>0.94000000000000128</v>
      </c>
      <c r="AU101" s="1">
        <f t="shared" si="48"/>
        <v>0.91999999999999993</v>
      </c>
      <c r="AV101" s="3">
        <f t="shared" si="49"/>
        <v>2.000000000000135E-2</v>
      </c>
      <c r="AW101" s="1">
        <f>ROUND(IF($B101="NSW",N101*Meta!$B$6,N101),1)</f>
        <v>2920</v>
      </c>
      <c r="AX101" s="3">
        <f t="shared" si="53"/>
        <v>75121.8</v>
      </c>
    </row>
    <row r="102" spans="1:50" x14ac:dyDescent="0.55000000000000004">
      <c r="A102" s="2" t="s">
        <v>113</v>
      </c>
      <c r="B102" s="3" t="s">
        <v>9</v>
      </c>
      <c r="C102" s="4">
        <v>57.57</v>
      </c>
      <c r="D102" s="5">
        <v>30.02</v>
      </c>
      <c r="E102" s="5">
        <v>0</v>
      </c>
      <c r="F102" s="5">
        <v>2.58</v>
      </c>
      <c r="G102" s="5">
        <v>0</v>
      </c>
      <c r="H102" s="5">
        <v>6.82</v>
      </c>
      <c r="I102" s="5">
        <v>3.01</v>
      </c>
      <c r="J102" s="3">
        <f t="shared" si="31"/>
        <v>5.59</v>
      </c>
      <c r="K102" s="4">
        <v>34.68</v>
      </c>
      <c r="L102" s="3">
        <v>65.319999999999993</v>
      </c>
      <c r="M102" s="4">
        <v>82364</v>
      </c>
      <c r="N102" s="5">
        <v>3277</v>
      </c>
      <c r="O102" s="3">
        <f t="shared" si="32"/>
        <v>79087</v>
      </c>
      <c r="P102" s="5">
        <f t="shared" si="33"/>
        <v>3.9786800058277887E-2</v>
      </c>
      <c r="Q102" s="4">
        <f>ROUND($C102+MIN($D102:$E102)*(1-SUMIFS(PrefFlows!$C:$C,PrefFlows!$A:$A,INDEX($D$1:$E$1,MATCH(MIN($D102:$E102),$D102:$E102,0)),PrefFlows!$B:$B,$B102)),2)</f>
        <v>57.57</v>
      </c>
      <c r="R102" s="5">
        <f>ROUND(MAX($D102:$E102)+MIN($D102:$E102)*SUMIFS(PrefFlows!$C:$C,PrefFlows!$A:$A,INDEX($D$1:$E$1,MATCH(MIN($D102:$E102),$D102:$E102,0)),PrefFlows!$B:$B,$B102),2)</f>
        <v>30.02</v>
      </c>
      <c r="S102" s="5">
        <f t="shared" si="34"/>
        <v>0</v>
      </c>
      <c r="T102" s="5">
        <f t="shared" si="35"/>
        <v>6.82</v>
      </c>
      <c r="U102" s="3">
        <f t="shared" si="36"/>
        <v>5.59</v>
      </c>
      <c r="V102" s="6">
        <f t="shared" si="37"/>
        <v>-27.55</v>
      </c>
      <c r="W102" s="4">
        <f>ROUND($S102*SUMIFS(PrefFlows!$C:$C,PrefFlows!$A:$A,$S$1,PrefFlows!$B:$B,$B102)+$T102*SUMIFS(PrefFlows!$C:$C,PrefFlows!$A:$A,$T$1,PrefFlows!$B:$B,$B102)+$U102*SUMIFS(PrefFlows!$C:$C,PrefFlows!$A:$A,$U$1,PrefFlows!$B:$B,$B102),2)</f>
        <v>4.1399999999999997</v>
      </c>
      <c r="X102" s="3">
        <f>ROUND($S102*(1-SUMIFS(PrefFlows!$C:$C,PrefFlows!$A:$A,$S$1,PrefFlows!$B:$B,$B102))+$T102*(1-SUMIFS(PrefFlows!$C:$C,PrefFlows!$A:$A,$T$1,PrefFlows!$B:$B,$B102))+$U102*(1-SUMIFS(PrefFlows!$C:$C,PrefFlows!$A:$A,$U$1,PrefFlows!$B:$B,$B102)),2)</f>
        <v>8.27</v>
      </c>
      <c r="Y102" s="4">
        <f t="shared" si="38"/>
        <v>4.66</v>
      </c>
      <c r="Z102" s="3">
        <f t="shared" si="39"/>
        <v>7.75</v>
      </c>
      <c r="AA102" s="4">
        <f t="shared" si="40"/>
        <v>0.33360000000000001</v>
      </c>
      <c r="AB102" s="5">
        <f t="shared" si="41"/>
        <v>0.3755</v>
      </c>
      <c r="AC102" s="5">
        <f t="shared" si="42"/>
        <v>4.19E-2</v>
      </c>
      <c r="AD102" s="3">
        <v>-5.38418111778858E-2</v>
      </c>
      <c r="AE102" s="4">
        <f>ROUND(S102*(1-(Exhaust!$B$2+AD102)),2)</f>
        <v>0</v>
      </c>
      <c r="AF102" s="5">
        <f>ROUND(T102*(1-(Exhaust!$B$3+$AD102)),2)</f>
        <v>4.46</v>
      </c>
      <c r="AG102" s="3">
        <f>ROUND(U102*(1-(Exhaust!$B$4+$AD102)),2)</f>
        <v>3.1</v>
      </c>
      <c r="AH102" s="4">
        <f>ROUND($AE102*(SUMIFS(PrefFlows!$C:$C,PrefFlows!$A:$A,$S$1,PrefFlows!$B:$B,$B102)+$AC102)+$AF102*(SUMIFS(PrefFlows!$C:$C,PrefFlows!$A:$A,$T$1,PrefFlows!$B:$B,$B102)+$AC102)+$AG102*(SUMIFS(PrefFlows!$C:$C,PrefFlows!$A:$A,$U$1,PrefFlows!$B:$B,$B102)+$AC102),2)</f>
        <v>2.73</v>
      </c>
      <c r="AI102" s="3">
        <f>ROUND($AE102*(1-(SUMIFS(PrefFlows!$C:$C,PrefFlows!$A:$A,$S$1,PrefFlows!$B:$B,$B102)+$AC102))+$AF102*(1-(SUMIFS(PrefFlows!$C:$C,PrefFlows!$A:$A,$T$1,PrefFlows!$B:$B,$B102)+$AC102))+$AG102*(1-(SUMIFS(PrefFlows!$C:$C,PrefFlows!$A:$A,$U$1,PrefFlows!$B:$B,$B102)+$AC102)),2)</f>
        <v>4.83</v>
      </c>
      <c r="AJ102" s="4">
        <f t="shared" si="43"/>
        <v>32.75</v>
      </c>
      <c r="AK102" s="3">
        <f t="shared" si="44"/>
        <v>62.4</v>
      </c>
      <c r="AL102" s="4">
        <f t="shared" si="45"/>
        <v>34.42</v>
      </c>
      <c r="AM102" s="3">
        <f t="shared" si="45"/>
        <v>65.58</v>
      </c>
      <c r="AN102" s="1">
        <f t="shared" si="50"/>
        <v>-15.32</v>
      </c>
      <c r="AO102" s="1">
        <f t="shared" si="51"/>
        <v>-15.5</v>
      </c>
      <c r="AP102" s="3">
        <f t="shared" si="52"/>
        <v>-15.58</v>
      </c>
      <c r="AQ102" s="1" t="b">
        <f t="shared" si="46"/>
        <v>0</v>
      </c>
      <c r="AR102" s="1" t="b">
        <f t="shared" si="46"/>
        <v>0</v>
      </c>
      <c r="AS102" s="3" t="b">
        <f t="shared" si="47"/>
        <v>0</v>
      </c>
      <c r="AT102" s="1">
        <f t="shared" si="48"/>
        <v>-0.17999999999999972</v>
      </c>
      <c r="AU102" s="1">
        <f t="shared" si="48"/>
        <v>-0.25999999999999979</v>
      </c>
      <c r="AV102" s="3">
        <f t="shared" si="49"/>
        <v>8.0000000000000071E-2</v>
      </c>
      <c r="AW102" s="1">
        <f>ROUND(IF($B102="NSW",N102*Meta!$B$6,N102),1)</f>
        <v>3277</v>
      </c>
      <c r="AX102" s="3">
        <f t="shared" si="53"/>
        <v>76352.399999999994</v>
      </c>
    </row>
    <row r="103" spans="1:50" x14ac:dyDescent="0.55000000000000004">
      <c r="A103" s="2" t="s">
        <v>114</v>
      </c>
      <c r="B103" s="3" t="s">
        <v>7</v>
      </c>
      <c r="C103" s="4">
        <v>31.12</v>
      </c>
      <c r="D103" s="5">
        <v>51.08</v>
      </c>
      <c r="E103" s="5">
        <v>0</v>
      </c>
      <c r="F103" s="5">
        <v>4.0199999999999996</v>
      </c>
      <c r="G103" s="5">
        <v>0</v>
      </c>
      <c r="H103" s="5">
        <v>10.96</v>
      </c>
      <c r="I103" s="5">
        <v>2.82</v>
      </c>
      <c r="J103" s="3">
        <f t="shared" si="31"/>
        <v>6.84</v>
      </c>
      <c r="K103" s="4">
        <v>57.06</v>
      </c>
      <c r="L103" s="3">
        <v>42.94</v>
      </c>
      <c r="M103" s="4">
        <v>92398</v>
      </c>
      <c r="N103" s="5">
        <v>2550</v>
      </c>
      <c r="O103" s="3">
        <f t="shared" si="32"/>
        <v>89848</v>
      </c>
      <c r="P103" s="5">
        <f t="shared" si="33"/>
        <v>2.7597999956709019E-2</v>
      </c>
      <c r="Q103" s="4">
        <f>ROUND($C103+MIN($D103:$E103)*(1-SUMIFS(PrefFlows!$C:$C,PrefFlows!$A:$A,INDEX($D$1:$E$1,MATCH(MIN($D103:$E103),$D103:$E103,0)),PrefFlows!$B:$B,$B103)),2)</f>
        <v>31.12</v>
      </c>
      <c r="R103" s="5">
        <f>ROUND(MAX($D103:$E103)+MIN($D103:$E103)*SUMIFS(PrefFlows!$C:$C,PrefFlows!$A:$A,INDEX($D$1:$E$1,MATCH(MIN($D103:$E103),$D103:$E103,0)),PrefFlows!$B:$B,$B103),2)</f>
        <v>51.08</v>
      </c>
      <c r="S103" s="5">
        <f t="shared" si="34"/>
        <v>0</v>
      </c>
      <c r="T103" s="5">
        <f t="shared" si="35"/>
        <v>10.96</v>
      </c>
      <c r="U103" s="3">
        <f t="shared" si="36"/>
        <v>6.84</v>
      </c>
      <c r="V103" s="6">
        <f t="shared" si="37"/>
        <v>19.96</v>
      </c>
      <c r="W103" s="4">
        <f>ROUND($S103*SUMIFS(PrefFlows!$C:$C,PrefFlows!$A:$A,$S$1,PrefFlows!$B:$B,$B103)+$T103*SUMIFS(PrefFlows!$C:$C,PrefFlows!$A:$A,$T$1,PrefFlows!$B:$B,$B103)+$U103*SUMIFS(PrefFlows!$C:$C,PrefFlows!$A:$A,$U$1,PrefFlows!$B:$B,$B103),2)</f>
        <v>6.04</v>
      </c>
      <c r="X103" s="3">
        <f>ROUND($S103*(1-SUMIFS(PrefFlows!$C:$C,PrefFlows!$A:$A,$S$1,PrefFlows!$B:$B,$B103))+$T103*(1-SUMIFS(PrefFlows!$C:$C,PrefFlows!$A:$A,$T$1,PrefFlows!$B:$B,$B103))+$U103*(1-SUMIFS(PrefFlows!$C:$C,PrefFlows!$A:$A,$U$1,PrefFlows!$B:$B,$B103)),2)</f>
        <v>11.76</v>
      </c>
      <c r="Y103" s="4">
        <f t="shared" si="38"/>
        <v>5.98</v>
      </c>
      <c r="Z103" s="3">
        <f t="shared" si="39"/>
        <v>11.82</v>
      </c>
      <c r="AA103" s="4">
        <f t="shared" si="40"/>
        <v>0.33929999999999999</v>
      </c>
      <c r="AB103" s="5">
        <f t="shared" si="41"/>
        <v>0.33600000000000002</v>
      </c>
      <c r="AC103" s="5">
        <f t="shared" si="42"/>
        <v>-3.3E-3</v>
      </c>
      <c r="AD103" s="3">
        <v>-1.8862430374339701E-2</v>
      </c>
      <c r="AE103" s="4">
        <f>ROUND(S103*(1-(Exhaust!$B$2+AD103)),2)</f>
        <v>0</v>
      </c>
      <c r="AF103" s="5">
        <f>ROUND(T103*(1-(Exhaust!$B$3+$AD103)),2)</f>
        <v>6.78</v>
      </c>
      <c r="AG103" s="3">
        <f>ROUND(U103*(1-(Exhaust!$B$4+$AD103)),2)</f>
        <v>3.55</v>
      </c>
      <c r="AH103" s="4">
        <f>ROUND($AE103*(SUMIFS(PrefFlows!$C:$C,PrefFlows!$A:$A,$S$1,PrefFlows!$B:$B,$B103)+$AC103)+$AF103*(SUMIFS(PrefFlows!$C:$C,PrefFlows!$A:$A,$T$1,PrefFlows!$B:$B,$B103)+$AC103)+$AG103*(SUMIFS(PrefFlows!$C:$C,PrefFlows!$A:$A,$U$1,PrefFlows!$B:$B,$B103)+$AC103),2)</f>
        <v>3.35</v>
      </c>
      <c r="AI103" s="3">
        <f>ROUND($AE103*(1-(SUMIFS(PrefFlows!$C:$C,PrefFlows!$A:$A,$S$1,PrefFlows!$B:$B,$B103)+$AC103))+$AF103*(1-(SUMIFS(PrefFlows!$C:$C,PrefFlows!$A:$A,$T$1,PrefFlows!$B:$B,$B103)+$AC103))+$AG103*(1-(SUMIFS(PrefFlows!$C:$C,PrefFlows!$A:$A,$U$1,PrefFlows!$B:$B,$B103)+$AC103)),2)</f>
        <v>6.98</v>
      </c>
      <c r="AJ103" s="4">
        <f t="shared" si="43"/>
        <v>54.43</v>
      </c>
      <c r="AK103" s="3">
        <f t="shared" si="44"/>
        <v>38.1</v>
      </c>
      <c r="AL103" s="4">
        <f t="shared" si="45"/>
        <v>58.82</v>
      </c>
      <c r="AM103" s="3">
        <f t="shared" si="45"/>
        <v>41.18</v>
      </c>
      <c r="AN103" s="1">
        <f t="shared" si="50"/>
        <v>7.06</v>
      </c>
      <c r="AO103" s="1">
        <f t="shared" si="51"/>
        <v>9.25</v>
      </c>
      <c r="AP103" s="3">
        <f t="shared" si="52"/>
        <v>8.82</v>
      </c>
      <c r="AQ103" s="1" t="b">
        <f t="shared" si="46"/>
        <v>0</v>
      </c>
      <c r="AR103" s="1" t="b">
        <f t="shared" si="46"/>
        <v>0</v>
      </c>
      <c r="AS103" s="3" t="b">
        <f t="shared" si="47"/>
        <v>0</v>
      </c>
      <c r="AT103" s="1">
        <f t="shared" si="48"/>
        <v>2.1900000000000004</v>
      </c>
      <c r="AU103" s="1">
        <f t="shared" si="48"/>
        <v>1.7600000000000007</v>
      </c>
      <c r="AV103" s="3">
        <f t="shared" si="49"/>
        <v>0.42999999999999972</v>
      </c>
      <c r="AW103" s="1">
        <f>ROUND(IF($B103="NSW",N103*Meta!$B$6,N103),1)</f>
        <v>2550</v>
      </c>
      <c r="AX103" s="3">
        <f t="shared" si="53"/>
        <v>83969.600000000006</v>
      </c>
    </row>
    <row r="104" spans="1:50" x14ac:dyDescent="0.55000000000000004">
      <c r="A104" s="2" t="s">
        <v>115</v>
      </c>
      <c r="B104" s="3" t="s">
        <v>9</v>
      </c>
      <c r="C104" s="4">
        <v>40.200000000000003</v>
      </c>
      <c r="D104" s="5">
        <v>45.77</v>
      </c>
      <c r="E104" s="5">
        <v>0</v>
      </c>
      <c r="F104" s="5">
        <v>2.4900000000000002</v>
      </c>
      <c r="G104" s="5">
        <v>0</v>
      </c>
      <c r="H104" s="5">
        <v>8.68</v>
      </c>
      <c r="I104" s="5">
        <v>2.86</v>
      </c>
      <c r="J104" s="3">
        <f t="shared" si="31"/>
        <v>5.35</v>
      </c>
      <c r="K104" s="4">
        <v>50.02</v>
      </c>
      <c r="L104" s="3">
        <v>49.98</v>
      </c>
      <c r="M104" s="4">
        <v>100634</v>
      </c>
      <c r="N104" s="5">
        <v>3987</v>
      </c>
      <c r="O104" s="3">
        <f t="shared" si="32"/>
        <v>96647</v>
      </c>
      <c r="P104" s="5">
        <f t="shared" si="33"/>
        <v>3.9618816702108629E-2</v>
      </c>
      <c r="Q104" s="4">
        <f>ROUND($C104+MIN($D104:$E104)*(1-SUMIFS(PrefFlows!$C:$C,PrefFlows!$A:$A,INDEX($D$1:$E$1,MATCH(MIN($D104:$E104),$D104:$E104,0)),PrefFlows!$B:$B,$B104)),2)</f>
        <v>40.200000000000003</v>
      </c>
      <c r="R104" s="5">
        <f>ROUND(MAX($D104:$E104)+MIN($D104:$E104)*SUMIFS(PrefFlows!$C:$C,PrefFlows!$A:$A,INDEX($D$1:$E$1,MATCH(MIN($D104:$E104),$D104:$E104,0)),PrefFlows!$B:$B,$B104),2)</f>
        <v>45.77</v>
      </c>
      <c r="S104" s="5">
        <f t="shared" si="34"/>
        <v>0</v>
      </c>
      <c r="T104" s="5">
        <f t="shared" si="35"/>
        <v>8.68</v>
      </c>
      <c r="U104" s="3">
        <f t="shared" si="36"/>
        <v>5.35</v>
      </c>
      <c r="V104" s="6">
        <f t="shared" si="37"/>
        <v>5.57</v>
      </c>
      <c r="W104" s="4">
        <f>ROUND($S104*SUMIFS(PrefFlows!$C:$C,PrefFlows!$A:$A,$S$1,PrefFlows!$B:$B,$B104)+$T104*SUMIFS(PrefFlows!$C:$C,PrefFlows!$A:$A,$T$1,PrefFlows!$B:$B,$B104)+$U104*SUMIFS(PrefFlows!$C:$C,PrefFlows!$A:$A,$U$1,PrefFlows!$B:$B,$B104),2)</f>
        <v>4.33</v>
      </c>
      <c r="X104" s="3">
        <f>ROUND($S104*(1-SUMIFS(PrefFlows!$C:$C,PrefFlows!$A:$A,$S$1,PrefFlows!$B:$B,$B104))+$T104*(1-SUMIFS(PrefFlows!$C:$C,PrefFlows!$A:$A,$T$1,PrefFlows!$B:$B,$B104))+$U104*(1-SUMIFS(PrefFlows!$C:$C,PrefFlows!$A:$A,$U$1,PrefFlows!$B:$B,$B104)),2)</f>
        <v>9.6999999999999993</v>
      </c>
      <c r="Y104" s="4">
        <f t="shared" si="38"/>
        <v>4.25</v>
      </c>
      <c r="Z104" s="3">
        <f t="shared" si="39"/>
        <v>9.7799999999999994</v>
      </c>
      <c r="AA104" s="4">
        <f t="shared" si="40"/>
        <v>0.30859999999999999</v>
      </c>
      <c r="AB104" s="5">
        <f t="shared" si="41"/>
        <v>0.3029</v>
      </c>
      <c r="AC104" s="5">
        <f t="shared" si="42"/>
        <v>-5.7000000000000002E-3</v>
      </c>
      <c r="AD104" s="3">
        <v>-2.74735725847133E-2</v>
      </c>
      <c r="AE104" s="4">
        <f>ROUND(S104*(1-(Exhaust!$B$2+AD104)),2)</f>
        <v>0</v>
      </c>
      <c r="AF104" s="5">
        <f>ROUND(T104*(1-(Exhaust!$B$3+$AD104)),2)</f>
        <v>5.45</v>
      </c>
      <c r="AG104" s="3">
        <f>ROUND(U104*(1-(Exhaust!$B$4+$AD104)),2)</f>
        <v>2.82</v>
      </c>
      <c r="AH104" s="4">
        <f>ROUND($AE104*(SUMIFS(PrefFlows!$C:$C,PrefFlows!$A:$A,$S$1,PrefFlows!$B:$B,$B104)+$AC104)+$AF104*(SUMIFS(PrefFlows!$C:$C,PrefFlows!$A:$A,$T$1,PrefFlows!$B:$B,$B104)+$AC104)+$AG104*(SUMIFS(PrefFlows!$C:$C,PrefFlows!$A:$A,$U$1,PrefFlows!$B:$B,$B104)+$AC104),2)</f>
        <v>2.39</v>
      </c>
      <c r="AI104" s="3">
        <f>ROUND($AE104*(1-(SUMIFS(PrefFlows!$C:$C,PrefFlows!$A:$A,$S$1,PrefFlows!$B:$B,$B104)+$AC104))+$AF104*(1-(SUMIFS(PrefFlows!$C:$C,PrefFlows!$A:$A,$T$1,PrefFlows!$B:$B,$B104)+$AC104))+$AG104*(1-(SUMIFS(PrefFlows!$C:$C,PrefFlows!$A:$A,$U$1,PrefFlows!$B:$B,$B104)+$AC104)),2)</f>
        <v>5.88</v>
      </c>
      <c r="AJ104" s="4">
        <f t="shared" si="43"/>
        <v>48.16</v>
      </c>
      <c r="AK104" s="3">
        <f t="shared" si="44"/>
        <v>46.08</v>
      </c>
      <c r="AL104" s="4">
        <f t="shared" si="45"/>
        <v>51.1</v>
      </c>
      <c r="AM104" s="3">
        <f t="shared" si="45"/>
        <v>48.9</v>
      </c>
      <c r="AN104" s="1">
        <f t="shared" si="50"/>
        <v>0.02</v>
      </c>
      <c r="AO104" s="1">
        <f t="shared" si="51"/>
        <v>1.44</v>
      </c>
      <c r="AP104" s="3">
        <f t="shared" si="52"/>
        <v>1.1000000000000001</v>
      </c>
      <c r="AQ104" s="1" t="b">
        <f t="shared" si="46"/>
        <v>0</v>
      </c>
      <c r="AR104" s="1" t="b">
        <f t="shared" si="46"/>
        <v>0</v>
      </c>
      <c r="AS104" s="3" t="b">
        <f t="shared" si="47"/>
        <v>0</v>
      </c>
      <c r="AT104" s="1">
        <f t="shared" si="48"/>
        <v>1.42</v>
      </c>
      <c r="AU104" s="1">
        <f t="shared" si="48"/>
        <v>1.08</v>
      </c>
      <c r="AV104" s="3">
        <f t="shared" si="49"/>
        <v>0.33999999999999986</v>
      </c>
      <c r="AW104" s="1">
        <f>ROUND(IF($B104="NSW",N104*Meta!$B$6,N104),1)</f>
        <v>3987</v>
      </c>
      <c r="AX104" s="3">
        <f t="shared" si="53"/>
        <v>92407</v>
      </c>
    </row>
    <row r="105" spans="1:50" x14ac:dyDescent="0.55000000000000004">
      <c r="A105" s="2" t="s">
        <v>116</v>
      </c>
      <c r="B105" s="3" t="s">
        <v>9</v>
      </c>
      <c r="C105" s="4">
        <v>38.14</v>
      </c>
      <c r="D105" s="5">
        <v>49.93</v>
      </c>
      <c r="E105" s="5">
        <v>0</v>
      </c>
      <c r="F105" s="5">
        <v>2.94</v>
      </c>
      <c r="G105" s="5">
        <v>0</v>
      </c>
      <c r="H105" s="5">
        <v>6</v>
      </c>
      <c r="I105" s="5">
        <v>2.99</v>
      </c>
      <c r="J105" s="3">
        <f t="shared" si="31"/>
        <v>5.93</v>
      </c>
      <c r="K105" s="4">
        <v>54.79</v>
      </c>
      <c r="L105" s="3">
        <v>45.21</v>
      </c>
      <c r="M105" s="4">
        <v>83474</v>
      </c>
      <c r="N105" s="5">
        <v>2859</v>
      </c>
      <c r="O105" s="3">
        <f t="shared" si="32"/>
        <v>80615</v>
      </c>
      <c r="P105" s="5">
        <f t="shared" si="33"/>
        <v>3.4250185686561088E-2</v>
      </c>
      <c r="Q105" s="4">
        <f>ROUND($C105+MIN($D105:$E105)*(1-SUMIFS(PrefFlows!$C:$C,PrefFlows!$A:$A,INDEX($D$1:$E$1,MATCH(MIN($D105:$E105),$D105:$E105,0)),PrefFlows!$B:$B,$B105)),2)</f>
        <v>38.14</v>
      </c>
      <c r="R105" s="5">
        <f>ROUND(MAX($D105:$E105)+MIN($D105:$E105)*SUMIFS(PrefFlows!$C:$C,PrefFlows!$A:$A,INDEX($D$1:$E$1,MATCH(MIN($D105:$E105),$D105:$E105,0)),PrefFlows!$B:$B,$B105),2)</f>
        <v>49.93</v>
      </c>
      <c r="S105" s="5">
        <f t="shared" si="34"/>
        <v>0</v>
      </c>
      <c r="T105" s="5">
        <f t="shared" si="35"/>
        <v>6</v>
      </c>
      <c r="U105" s="3">
        <f t="shared" si="36"/>
        <v>5.93</v>
      </c>
      <c r="V105" s="6">
        <f t="shared" si="37"/>
        <v>11.79</v>
      </c>
      <c r="W105" s="4">
        <f>ROUND($S105*SUMIFS(PrefFlows!$C:$C,PrefFlows!$A:$A,$S$1,PrefFlows!$B:$B,$B105)+$T105*SUMIFS(PrefFlows!$C:$C,PrefFlows!$A:$A,$T$1,PrefFlows!$B:$B,$B105)+$U105*SUMIFS(PrefFlows!$C:$C,PrefFlows!$A:$A,$U$1,PrefFlows!$B:$B,$B105),2)</f>
        <v>4.18</v>
      </c>
      <c r="X105" s="3">
        <f>ROUND($S105*(1-SUMIFS(PrefFlows!$C:$C,PrefFlows!$A:$A,$S$1,PrefFlows!$B:$B,$B105))+$T105*(1-SUMIFS(PrefFlows!$C:$C,PrefFlows!$A:$A,$T$1,PrefFlows!$B:$B,$B105))+$U105*(1-SUMIFS(PrefFlows!$C:$C,PrefFlows!$A:$A,$U$1,PrefFlows!$B:$B,$B105)),2)</f>
        <v>7.75</v>
      </c>
      <c r="Y105" s="4">
        <f t="shared" si="38"/>
        <v>4.8600000000000003</v>
      </c>
      <c r="Z105" s="3">
        <f t="shared" si="39"/>
        <v>7.07</v>
      </c>
      <c r="AA105" s="4">
        <f t="shared" si="40"/>
        <v>0.35039999999999999</v>
      </c>
      <c r="AB105" s="5">
        <f t="shared" si="41"/>
        <v>0.40739999999999998</v>
      </c>
      <c r="AC105" s="5">
        <f t="shared" si="42"/>
        <v>5.7000000000000002E-2</v>
      </c>
      <c r="AD105" s="3">
        <v>-1.1689652018187501E-4</v>
      </c>
      <c r="AE105" s="4">
        <f>ROUND(S105*(1-(Exhaust!$B$2+AD105)),2)</f>
        <v>0</v>
      </c>
      <c r="AF105" s="5">
        <f>ROUND(T105*(1-(Exhaust!$B$3+$AD105)),2)</f>
        <v>3.6</v>
      </c>
      <c r="AG105" s="3">
        <f>ROUND(U105*(1-(Exhaust!$B$4+$AD105)),2)</f>
        <v>2.97</v>
      </c>
      <c r="AH105" s="4">
        <f>ROUND($AE105*(SUMIFS(PrefFlows!$C:$C,PrefFlows!$A:$A,$S$1,PrefFlows!$B:$B,$B105)+$AC105)+$AF105*(SUMIFS(PrefFlows!$C:$C,PrefFlows!$A:$A,$T$1,PrefFlows!$B:$B,$B105)+$AC105)+$AG105*(SUMIFS(PrefFlows!$C:$C,PrefFlows!$A:$A,$U$1,PrefFlows!$B:$B,$B105)+$AC105),2)</f>
        <v>2.57</v>
      </c>
      <c r="AI105" s="3">
        <f>ROUND($AE105*(1-(SUMIFS(PrefFlows!$C:$C,PrefFlows!$A:$A,$S$1,PrefFlows!$B:$B,$B105)+$AC105))+$AF105*(1-(SUMIFS(PrefFlows!$C:$C,PrefFlows!$A:$A,$T$1,PrefFlows!$B:$B,$B105)+$AC105))+$AG105*(1-(SUMIFS(PrefFlows!$C:$C,PrefFlows!$A:$A,$U$1,PrefFlows!$B:$B,$B105)+$AC105)),2)</f>
        <v>4</v>
      </c>
      <c r="AJ105" s="4">
        <f t="shared" si="43"/>
        <v>52.5</v>
      </c>
      <c r="AK105" s="3">
        <f t="shared" si="44"/>
        <v>42.14</v>
      </c>
      <c r="AL105" s="4">
        <f t="shared" si="45"/>
        <v>55.47</v>
      </c>
      <c r="AM105" s="3">
        <f t="shared" si="45"/>
        <v>44.53</v>
      </c>
      <c r="AN105" s="1">
        <f t="shared" si="50"/>
        <v>4.79</v>
      </c>
      <c r="AO105" s="1">
        <f t="shared" si="51"/>
        <v>5.64</v>
      </c>
      <c r="AP105" s="3">
        <f t="shared" si="52"/>
        <v>5.47</v>
      </c>
      <c r="AQ105" s="1" t="b">
        <f t="shared" si="46"/>
        <v>0</v>
      </c>
      <c r="AR105" s="1" t="b">
        <f t="shared" si="46"/>
        <v>0</v>
      </c>
      <c r="AS105" s="3" t="b">
        <f t="shared" si="47"/>
        <v>0</v>
      </c>
      <c r="AT105" s="1">
        <f t="shared" si="48"/>
        <v>0.84999999999999964</v>
      </c>
      <c r="AU105" s="1">
        <f t="shared" si="48"/>
        <v>0.67999999999999972</v>
      </c>
      <c r="AV105" s="3">
        <f t="shared" si="49"/>
        <v>0.16999999999999993</v>
      </c>
      <c r="AW105" s="1">
        <f>ROUND(IF($B105="NSW",N105*Meta!$B$6,N105),1)</f>
        <v>2859</v>
      </c>
      <c r="AX105" s="3">
        <f t="shared" si="53"/>
        <v>77249.5</v>
      </c>
    </row>
    <row r="106" spans="1:50" x14ac:dyDescent="0.55000000000000004">
      <c r="A106" s="2" t="s">
        <v>117</v>
      </c>
      <c r="B106" s="3" t="s">
        <v>22</v>
      </c>
      <c r="C106" s="4">
        <v>35.630000000000003</v>
      </c>
      <c r="D106" s="5">
        <v>54.98</v>
      </c>
      <c r="E106" s="5">
        <v>0</v>
      </c>
      <c r="F106" s="5">
        <v>1.53</v>
      </c>
      <c r="G106" s="5">
        <v>0</v>
      </c>
      <c r="H106" s="5">
        <v>5.96</v>
      </c>
      <c r="I106" s="5">
        <v>1.9</v>
      </c>
      <c r="J106" s="3">
        <f t="shared" si="31"/>
        <v>3.43</v>
      </c>
      <c r="K106" s="4">
        <v>58.83</v>
      </c>
      <c r="L106" s="3">
        <v>41.17</v>
      </c>
      <c r="M106" s="4">
        <v>86356</v>
      </c>
      <c r="N106" s="5">
        <v>2727</v>
      </c>
      <c r="O106" s="3">
        <f t="shared" si="32"/>
        <v>83629</v>
      </c>
      <c r="P106" s="5">
        <f t="shared" si="33"/>
        <v>3.1578581685117423E-2</v>
      </c>
      <c r="Q106" s="4">
        <f>ROUND($C106+MIN($D106:$E106)*(1-SUMIFS(PrefFlows!$C:$C,PrefFlows!$A:$A,INDEX($D$1:$E$1,MATCH(MIN($D106:$E106),$D106:$E106,0)),PrefFlows!$B:$B,$B106)),2)</f>
        <v>35.630000000000003</v>
      </c>
      <c r="R106" s="5">
        <f>ROUND(MAX($D106:$E106)+MIN($D106:$E106)*SUMIFS(PrefFlows!$C:$C,PrefFlows!$A:$A,INDEX($D$1:$E$1,MATCH(MIN($D106:$E106),$D106:$E106,0)),PrefFlows!$B:$B,$B106),2)</f>
        <v>54.98</v>
      </c>
      <c r="S106" s="5">
        <f t="shared" si="34"/>
        <v>0</v>
      </c>
      <c r="T106" s="5">
        <f t="shared" si="35"/>
        <v>5.96</v>
      </c>
      <c r="U106" s="3">
        <f t="shared" si="36"/>
        <v>3.43</v>
      </c>
      <c r="V106" s="6">
        <f t="shared" si="37"/>
        <v>19.350000000000001</v>
      </c>
      <c r="W106" s="4">
        <f>ROUND($S106*SUMIFS(PrefFlows!$C:$C,PrefFlows!$A:$A,$S$1,PrefFlows!$B:$B,$B106)+$T106*SUMIFS(PrefFlows!$C:$C,PrefFlows!$A:$A,$T$1,PrefFlows!$B:$B,$B106)+$U106*SUMIFS(PrefFlows!$C:$C,PrefFlows!$A:$A,$U$1,PrefFlows!$B:$B,$B106),2)</f>
        <v>3.21</v>
      </c>
      <c r="X106" s="3">
        <f>ROUND($S106*(1-SUMIFS(PrefFlows!$C:$C,PrefFlows!$A:$A,$S$1,PrefFlows!$B:$B,$B106))+$T106*(1-SUMIFS(PrefFlows!$C:$C,PrefFlows!$A:$A,$T$1,PrefFlows!$B:$B,$B106))+$U106*(1-SUMIFS(PrefFlows!$C:$C,PrefFlows!$A:$A,$U$1,PrefFlows!$B:$B,$B106)),2)</f>
        <v>6.18</v>
      </c>
      <c r="Y106" s="4">
        <f t="shared" si="38"/>
        <v>3.85</v>
      </c>
      <c r="Z106" s="3">
        <f t="shared" si="39"/>
        <v>5.54</v>
      </c>
      <c r="AA106" s="4">
        <f t="shared" si="40"/>
        <v>0.34189999999999998</v>
      </c>
      <c r="AB106" s="5">
        <f t="shared" si="41"/>
        <v>0.41</v>
      </c>
      <c r="AC106" s="5">
        <f t="shared" si="42"/>
        <v>6.8099999999999994E-2</v>
      </c>
      <c r="AD106" s="3">
        <v>8.4948710377290196E-2</v>
      </c>
      <c r="AE106" s="4">
        <f>ROUND(S106*(1-(Exhaust!$B$2+AD106)),2)</f>
        <v>0</v>
      </c>
      <c r="AF106" s="5">
        <f>ROUND(T106*(1-(Exhaust!$B$3+$AD106)),2)</f>
        <v>3.07</v>
      </c>
      <c r="AG106" s="3">
        <f>ROUND(U106*(1-(Exhaust!$B$4+$AD106)),2)</f>
        <v>1.42</v>
      </c>
      <c r="AH106" s="4">
        <f>ROUND($AE106*(SUMIFS(PrefFlows!$C:$C,PrefFlows!$A:$A,$S$1,PrefFlows!$B:$B,$B106)+$AC106)+$AF106*(SUMIFS(PrefFlows!$C:$C,PrefFlows!$A:$A,$T$1,PrefFlows!$B:$B,$B106)+$AC106)+$AG106*(SUMIFS(PrefFlows!$C:$C,PrefFlows!$A:$A,$U$1,PrefFlows!$B:$B,$B106)+$AC106),2)</f>
        <v>1.79</v>
      </c>
      <c r="AI106" s="3">
        <f>ROUND($AE106*(1-(SUMIFS(PrefFlows!$C:$C,PrefFlows!$A:$A,$S$1,PrefFlows!$B:$B,$B106)+$AC106))+$AF106*(1-(SUMIFS(PrefFlows!$C:$C,PrefFlows!$A:$A,$T$1,PrefFlows!$B:$B,$B106)+$AC106))+$AG106*(1-(SUMIFS(PrefFlows!$C:$C,PrefFlows!$A:$A,$U$1,PrefFlows!$B:$B,$B106)+$AC106)),2)</f>
        <v>2.7</v>
      </c>
      <c r="AJ106" s="4">
        <f t="shared" si="43"/>
        <v>56.77</v>
      </c>
      <c r="AK106" s="3">
        <f t="shared" si="44"/>
        <v>38.33</v>
      </c>
      <c r="AL106" s="4">
        <f t="shared" si="45"/>
        <v>59.7</v>
      </c>
      <c r="AM106" s="3">
        <f t="shared" si="45"/>
        <v>40.299999999999997</v>
      </c>
      <c r="AN106" s="1">
        <f t="shared" si="50"/>
        <v>8.83</v>
      </c>
      <c r="AO106" s="1">
        <f t="shared" si="51"/>
        <v>9.67</v>
      </c>
      <c r="AP106" s="3">
        <f t="shared" si="52"/>
        <v>9.6999999999999993</v>
      </c>
      <c r="AQ106" s="1" t="b">
        <f t="shared" si="46"/>
        <v>0</v>
      </c>
      <c r="AR106" s="1" t="b">
        <f t="shared" si="46"/>
        <v>0</v>
      </c>
      <c r="AS106" s="3" t="b">
        <f t="shared" si="47"/>
        <v>0</v>
      </c>
      <c r="AT106" s="1">
        <f t="shared" si="48"/>
        <v>0.83999999999999986</v>
      </c>
      <c r="AU106" s="1">
        <f t="shared" si="48"/>
        <v>0.86999999999999922</v>
      </c>
      <c r="AV106" s="3">
        <f t="shared" si="49"/>
        <v>2.9999999999999361E-2</v>
      </c>
      <c r="AW106" s="1">
        <f>ROUND(IF($B106="NSW",N106*Meta!$B$6,N106),1)</f>
        <v>2727</v>
      </c>
      <c r="AX106" s="3">
        <f t="shared" si="53"/>
        <v>80447</v>
      </c>
    </row>
    <row r="107" spans="1:50" x14ac:dyDescent="0.55000000000000004">
      <c r="A107" s="2" t="s">
        <v>118</v>
      </c>
      <c r="B107" s="3" t="s">
        <v>9</v>
      </c>
      <c r="C107" s="4">
        <v>49.51</v>
      </c>
      <c r="D107" s="5">
        <v>23.49</v>
      </c>
      <c r="E107" s="5">
        <v>0</v>
      </c>
      <c r="F107" s="5">
        <v>1</v>
      </c>
      <c r="G107" s="5">
        <v>0</v>
      </c>
      <c r="H107" s="5">
        <v>22.8</v>
      </c>
      <c r="I107" s="5">
        <v>3.2</v>
      </c>
      <c r="J107" s="3">
        <f t="shared" si="31"/>
        <v>4.2</v>
      </c>
      <c r="K107" s="4">
        <v>27.73</v>
      </c>
      <c r="L107" s="3">
        <v>72.27</v>
      </c>
      <c r="M107" s="4">
        <v>90104</v>
      </c>
      <c r="N107" s="5">
        <v>2521</v>
      </c>
      <c r="O107" s="3">
        <f t="shared" si="32"/>
        <v>87583</v>
      </c>
      <c r="P107" s="5">
        <f t="shared" si="33"/>
        <v>2.7978780076356211E-2</v>
      </c>
      <c r="Q107" s="4">
        <f>ROUND($C107+MIN($D107:$E107)*(1-SUMIFS(PrefFlows!$C:$C,PrefFlows!$A:$A,INDEX($D$1:$E$1,MATCH(MIN($D107:$E107),$D107:$E107,0)),PrefFlows!$B:$B,$B107)),2)</f>
        <v>49.51</v>
      </c>
      <c r="R107" s="5">
        <f>ROUND(MAX($D107:$E107)+MIN($D107:$E107)*SUMIFS(PrefFlows!$C:$C,PrefFlows!$A:$A,INDEX($D$1:$E$1,MATCH(MIN($D107:$E107),$D107:$E107,0)),PrefFlows!$B:$B,$B107),2)</f>
        <v>23.49</v>
      </c>
      <c r="S107" s="5">
        <f t="shared" si="34"/>
        <v>0</v>
      </c>
      <c r="T107" s="5">
        <f t="shared" si="35"/>
        <v>22.8</v>
      </c>
      <c r="U107" s="3">
        <f t="shared" si="36"/>
        <v>4.2</v>
      </c>
      <c r="V107" s="6">
        <f t="shared" si="37"/>
        <v>-26.02</v>
      </c>
      <c r="W107" s="4">
        <f>ROUND($S107*SUMIFS(PrefFlows!$C:$C,PrefFlows!$A:$A,$S$1,PrefFlows!$B:$B,$B107)+$T107*SUMIFS(PrefFlows!$C:$C,PrefFlows!$A:$A,$T$1,PrefFlows!$B:$B,$B107)+$U107*SUMIFS(PrefFlows!$C:$C,PrefFlows!$A:$A,$U$1,PrefFlows!$B:$B,$B107),2)</f>
        <v>6.14</v>
      </c>
      <c r="X107" s="3">
        <f>ROUND($S107*(1-SUMIFS(PrefFlows!$C:$C,PrefFlows!$A:$A,$S$1,PrefFlows!$B:$B,$B107))+$T107*(1-SUMIFS(PrefFlows!$C:$C,PrefFlows!$A:$A,$T$1,PrefFlows!$B:$B,$B107))+$U107*(1-SUMIFS(PrefFlows!$C:$C,PrefFlows!$A:$A,$U$1,PrefFlows!$B:$B,$B107)),2)</f>
        <v>20.86</v>
      </c>
      <c r="Y107" s="4">
        <f t="shared" si="38"/>
        <v>4.24</v>
      </c>
      <c r="Z107" s="3">
        <f t="shared" si="39"/>
        <v>22.76</v>
      </c>
      <c r="AA107" s="4">
        <f t="shared" si="40"/>
        <v>0.22739999999999999</v>
      </c>
      <c r="AB107" s="5">
        <f t="shared" si="41"/>
        <v>0.157</v>
      </c>
      <c r="AC107" s="5">
        <f t="shared" si="42"/>
        <v>-7.0400000000000004E-2</v>
      </c>
      <c r="AD107" s="3">
        <v>-0.129640448788295</v>
      </c>
      <c r="AE107" s="4">
        <f>ROUND(S107*(1-(Exhaust!$B$2+AD107)),2)</f>
        <v>0</v>
      </c>
      <c r="AF107" s="5">
        <f>ROUND(T107*(1-(Exhaust!$B$3+$AD107)),2)</f>
        <v>16.64</v>
      </c>
      <c r="AG107" s="3">
        <f>ROUND(U107*(1-(Exhaust!$B$4+$AD107)),2)</f>
        <v>2.64</v>
      </c>
      <c r="AH107" s="4">
        <f>ROUND($AE107*(SUMIFS(PrefFlows!$C:$C,PrefFlows!$A:$A,$S$1,PrefFlows!$B:$B,$B107)+$AC107)+$AF107*(SUMIFS(PrefFlows!$C:$C,PrefFlows!$A:$A,$T$1,PrefFlows!$B:$B,$B107)+$AC107)+$AG107*(SUMIFS(PrefFlows!$C:$C,PrefFlows!$A:$A,$U$1,PrefFlows!$B:$B,$B107)+$AC107),2)</f>
        <v>2.9</v>
      </c>
      <c r="AI107" s="3">
        <f>ROUND($AE107*(1-(SUMIFS(PrefFlows!$C:$C,PrefFlows!$A:$A,$S$1,PrefFlows!$B:$B,$B107)+$AC107))+$AF107*(1-(SUMIFS(PrefFlows!$C:$C,PrefFlows!$A:$A,$T$1,PrefFlows!$B:$B,$B107)+$AC107))+$AG107*(1-(SUMIFS(PrefFlows!$C:$C,PrefFlows!$A:$A,$U$1,PrefFlows!$B:$B,$B107)+$AC107)),2)</f>
        <v>16.38</v>
      </c>
      <c r="AJ107" s="4">
        <f t="shared" si="43"/>
        <v>26.39</v>
      </c>
      <c r="AK107" s="3">
        <f t="shared" si="44"/>
        <v>65.89</v>
      </c>
      <c r="AL107" s="4">
        <f t="shared" si="45"/>
        <v>28.6</v>
      </c>
      <c r="AM107" s="3">
        <f t="shared" si="45"/>
        <v>71.400000000000006</v>
      </c>
      <c r="AN107" s="1">
        <f t="shared" si="50"/>
        <v>-22.27</v>
      </c>
      <c r="AO107" s="1">
        <f t="shared" si="51"/>
        <v>-20.48</v>
      </c>
      <c r="AP107" s="3">
        <f t="shared" si="52"/>
        <v>-21.4</v>
      </c>
      <c r="AQ107" s="1" t="b">
        <f t="shared" si="46"/>
        <v>0</v>
      </c>
      <c r="AR107" s="1" t="b">
        <f t="shared" si="46"/>
        <v>0</v>
      </c>
      <c r="AS107" s="3" t="b">
        <f t="shared" si="47"/>
        <v>0</v>
      </c>
      <c r="AT107" s="1">
        <f t="shared" si="48"/>
        <v>1.7899999999999991</v>
      </c>
      <c r="AU107" s="1">
        <f t="shared" si="48"/>
        <v>0.87000000000000099</v>
      </c>
      <c r="AV107" s="3">
        <f t="shared" si="49"/>
        <v>0.91999999999999815</v>
      </c>
      <c r="AW107" s="1">
        <f>ROUND(IF($B107="NSW",N107*Meta!$B$6,N107),1)</f>
        <v>2521</v>
      </c>
      <c r="AX107" s="3">
        <f t="shared" si="53"/>
        <v>81643.100000000006</v>
      </c>
    </row>
    <row r="108" spans="1:50" x14ac:dyDescent="0.55000000000000004">
      <c r="A108" s="2" t="s">
        <v>119</v>
      </c>
      <c r="B108" s="3" t="s">
        <v>9</v>
      </c>
      <c r="C108" s="4">
        <v>42.47</v>
      </c>
      <c r="D108" s="5">
        <v>39.68</v>
      </c>
      <c r="E108" s="5">
        <v>0</v>
      </c>
      <c r="F108" s="5">
        <v>0.85</v>
      </c>
      <c r="G108" s="5">
        <v>0</v>
      </c>
      <c r="H108" s="5">
        <v>15.03</v>
      </c>
      <c r="I108" s="5">
        <v>1.97</v>
      </c>
      <c r="J108" s="3">
        <f t="shared" si="31"/>
        <v>2.82</v>
      </c>
      <c r="K108" s="4">
        <v>42.85</v>
      </c>
      <c r="L108" s="3">
        <v>57.15</v>
      </c>
      <c r="M108" s="4">
        <v>87984</v>
      </c>
      <c r="N108" s="5">
        <v>1903</v>
      </c>
      <c r="O108" s="3">
        <f t="shared" si="32"/>
        <v>86081</v>
      </c>
      <c r="P108" s="5">
        <f t="shared" si="33"/>
        <v>2.1628932533187852E-2</v>
      </c>
      <c r="Q108" s="4">
        <f>ROUND($C108+MIN($D108:$E108)*(1-SUMIFS(PrefFlows!$C:$C,PrefFlows!$A:$A,INDEX($D$1:$E$1,MATCH(MIN($D108:$E108),$D108:$E108,0)),PrefFlows!$B:$B,$B108)),2)</f>
        <v>42.47</v>
      </c>
      <c r="R108" s="5">
        <f>ROUND(MAX($D108:$E108)+MIN($D108:$E108)*SUMIFS(PrefFlows!$C:$C,PrefFlows!$A:$A,INDEX($D$1:$E$1,MATCH(MIN($D108:$E108),$D108:$E108,0)),PrefFlows!$B:$B,$B108),2)</f>
        <v>39.68</v>
      </c>
      <c r="S108" s="5">
        <f t="shared" si="34"/>
        <v>0</v>
      </c>
      <c r="T108" s="5">
        <f t="shared" si="35"/>
        <v>15.03</v>
      </c>
      <c r="U108" s="3">
        <f t="shared" si="36"/>
        <v>2.82</v>
      </c>
      <c r="V108" s="6">
        <f t="shared" si="37"/>
        <v>-2.79</v>
      </c>
      <c r="W108" s="4">
        <f>ROUND($S108*SUMIFS(PrefFlows!$C:$C,PrefFlows!$A:$A,$S$1,PrefFlows!$B:$B,$B108)+$T108*SUMIFS(PrefFlows!$C:$C,PrefFlows!$A:$A,$T$1,PrefFlows!$B:$B,$B108)+$U108*SUMIFS(PrefFlows!$C:$C,PrefFlows!$A:$A,$U$1,PrefFlows!$B:$B,$B108),2)</f>
        <v>4.07</v>
      </c>
      <c r="X108" s="3">
        <f>ROUND($S108*(1-SUMIFS(PrefFlows!$C:$C,PrefFlows!$A:$A,$S$1,PrefFlows!$B:$B,$B108))+$T108*(1-SUMIFS(PrefFlows!$C:$C,PrefFlows!$A:$A,$T$1,PrefFlows!$B:$B,$B108))+$U108*(1-SUMIFS(PrefFlows!$C:$C,PrefFlows!$A:$A,$U$1,PrefFlows!$B:$B,$B108)),2)</f>
        <v>13.78</v>
      </c>
      <c r="Y108" s="4">
        <f t="shared" si="38"/>
        <v>3.17</v>
      </c>
      <c r="Z108" s="3">
        <f t="shared" si="39"/>
        <v>14.68</v>
      </c>
      <c r="AA108" s="4">
        <f t="shared" si="40"/>
        <v>0.22800000000000001</v>
      </c>
      <c r="AB108" s="5">
        <f t="shared" si="41"/>
        <v>0.17760000000000001</v>
      </c>
      <c r="AC108" s="5">
        <f t="shared" si="42"/>
        <v>-5.04E-2</v>
      </c>
      <c r="AD108" s="3">
        <v>-0.10110343347935299</v>
      </c>
      <c r="AE108" s="4">
        <f>ROUND(S108*(1-(Exhaust!$B$2+AD108)),2)</f>
        <v>0</v>
      </c>
      <c r="AF108" s="5">
        <f>ROUND(T108*(1-(Exhaust!$B$3+$AD108)),2)</f>
        <v>10.54</v>
      </c>
      <c r="AG108" s="3">
        <f>ROUND(U108*(1-(Exhaust!$B$4+$AD108)),2)</f>
        <v>1.7</v>
      </c>
      <c r="AH108" s="4">
        <f>ROUND($AE108*(SUMIFS(PrefFlows!$C:$C,PrefFlows!$A:$A,$S$1,PrefFlows!$B:$B,$B108)+$AC108)+$AF108*(SUMIFS(PrefFlows!$C:$C,PrefFlows!$A:$A,$T$1,PrefFlows!$B:$B,$B108)+$AC108)+$AG108*(SUMIFS(PrefFlows!$C:$C,PrefFlows!$A:$A,$U$1,PrefFlows!$B:$B,$B108)+$AC108),2)</f>
        <v>2.09</v>
      </c>
      <c r="AI108" s="3">
        <f>ROUND($AE108*(1-(SUMIFS(PrefFlows!$C:$C,PrefFlows!$A:$A,$S$1,PrefFlows!$B:$B,$B108)+$AC108))+$AF108*(1-(SUMIFS(PrefFlows!$C:$C,PrefFlows!$A:$A,$T$1,PrefFlows!$B:$B,$B108)+$AC108))+$AG108*(1-(SUMIFS(PrefFlows!$C:$C,PrefFlows!$A:$A,$U$1,PrefFlows!$B:$B,$B108)+$AC108)),2)</f>
        <v>10.15</v>
      </c>
      <c r="AJ108" s="4">
        <f t="shared" si="43"/>
        <v>41.77</v>
      </c>
      <c r="AK108" s="3">
        <f t="shared" si="44"/>
        <v>52.62</v>
      </c>
      <c r="AL108" s="4">
        <f t="shared" si="45"/>
        <v>44.25</v>
      </c>
      <c r="AM108" s="3">
        <f t="shared" si="45"/>
        <v>55.75</v>
      </c>
      <c r="AN108" s="1">
        <f t="shared" si="50"/>
        <v>-7.15</v>
      </c>
      <c r="AO108" s="1">
        <f t="shared" si="51"/>
        <v>-4.8</v>
      </c>
      <c r="AP108" s="3">
        <f t="shared" si="52"/>
        <v>-5.75</v>
      </c>
      <c r="AQ108" s="1" t="b">
        <f t="shared" si="46"/>
        <v>0</v>
      </c>
      <c r="AR108" s="1" t="b">
        <f t="shared" si="46"/>
        <v>0</v>
      </c>
      <c r="AS108" s="3" t="b">
        <f t="shared" si="47"/>
        <v>0</v>
      </c>
      <c r="AT108" s="1">
        <f t="shared" si="48"/>
        <v>2.3500000000000005</v>
      </c>
      <c r="AU108" s="1">
        <f t="shared" si="48"/>
        <v>1.4000000000000004</v>
      </c>
      <c r="AV108" s="3">
        <f t="shared" si="49"/>
        <v>0.95000000000000018</v>
      </c>
      <c r="AW108" s="1">
        <f>ROUND(IF($B108="NSW",N108*Meta!$B$6,N108),1)</f>
        <v>1903</v>
      </c>
      <c r="AX108" s="3">
        <f t="shared" si="53"/>
        <v>81886.2</v>
      </c>
    </row>
    <row r="109" spans="1:50" x14ac:dyDescent="0.55000000000000004">
      <c r="A109" s="2" t="s">
        <v>120</v>
      </c>
      <c r="B109" s="3" t="s">
        <v>9</v>
      </c>
      <c r="C109" s="4">
        <v>34.78</v>
      </c>
      <c r="D109" s="5">
        <v>51.6</v>
      </c>
      <c r="E109" s="5">
        <v>0</v>
      </c>
      <c r="F109" s="5">
        <v>2.42</v>
      </c>
      <c r="G109" s="5">
        <v>0</v>
      </c>
      <c r="H109" s="5">
        <v>6.29</v>
      </c>
      <c r="I109" s="5">
        <v>4.91</v>
      </c>
      <c r="J109" s="3">
        <f t="shared" si="31"/>
        <v>7.33</v>
      </c>
      <c r="K109" s="4">
        <v>56.02</v>
      </c>
      <c r="L109" s="3">
        <v>43.98</v>
      </c>
      <c r="M109" s="4">
        <v>86473</v>
      </c>
      <c r="N109" s="5">
        <v>2385</v>
      </c>
      <c r="O109" s="3">
        <f t="shared" si="32"/>
        <v>84088</v>
      </c>
      <c r="P109" s="5">
        <f t="shared" si="33"/>
        <v>2.7580863390885016E-2</v>
      </c>
      <c r="Q109" s="4">
        <f>ROUND($C109+MIN($D109:$E109)*(1-SUMIFS(PrefFlows!$C:$C,PrefFlows!$A:$A,INDEX($D$1:$E$1,MATCH(MIN($D109:$E109),$D109:$E109,0)),PrefFlows!$B:$B,$B109)),2)</f>
        <v>34.78</v>
      </c>
      <c r="R109" s="5">
        <f>ROUND(MAX($D109:$E109)+MIN($D109:$E109)*SUMIFS(PrefFlows!$C:$C,PrefFlows!$A:$A,INDEX($D$1:$E$1,MATCH(MIN($D109:$E109),$D109:$E109,0)),PrefFlows!$B:$B,$B109),2)</f>
        <v>51.6</v>
      </c>
      <c r="S109" s="5">
        <f t="shared" si="34"/>
        <v>0</v>
      </c>
      <c r="T109" s="5">
        <f t="shared" si="35"/>
        <v>6.29</v>
      </c>
      <c r="U109" s="3">
        <f t="shared" si="36"/>
        <v>7.33</v>
      </c>
      <c r="V109" s="6">
        <f t="shared" si="37"/>
        <v>16.82</v>
      </c>
      <c r="W109" s="4">
        <f>ROUND($S109*SUMIFS(PrefFlows!$C:$C,PrefFlows!$A:$A,$S$1,PrefFlows!$B:$B,$B109)+$T109*SUMIFS(PrefFlows!$C:$C,PrefFlows!$A:$A,$T$1,PrefFlows!$B:$B,$B109)+$U109*SUMIFS(PrefFlows!$C:$C,PrefFlows!$A:$A,$U$1,PrefFlows!$B:$B,$B109),2)</f>
        <v>4.9800000000000004</v>
      </c>
      <c r="X109" s="3">
        <f>ROUND($S109*(1-SUMIFS(PrefFlows!$C:$C,PrefFlows!$A:$A,$S$1,PrefFlows!$B:$B,$B109))+$T109*(1-SUMIFS(PrefFlows!$C:$C,PrefFlows!$A:$A,$T$1,PrefFlows!$B:$B,$B109))+$U109*(1-SUMIFS(PrefFlows!$C:$C,PrefFlows!$A:$A,$U$1,PrefFlows!$B:$B,$B109)),2)</f>
        <v>8.64</v>
      </c>
      <c r="Y109" s="4">
        <f t="shared" si="38"/>
        <v>4.42</v>
      </c>
      <c r="Z109" s="3">
        <f t="shared" si="39"/>
        <v>9.1999999999999993</v>
      </c>
      <c r="AA109" s="4">
        <f t="shared" si="40"/>
        <v>0.36559999999999998</v>
      </c>
      <c r="AB109" s="5">
        <f t="shared" si="41"/>
        <v>0.32450000000000001</v>
      </c>
      <c r="AC109" s="5">
        <f t="shared" si="42"/>
        <v>-4.1099999999999998E-2</v>
      </c>
      <c r="AD109" s="3">
        <v>-2.7594323207947601E-2</v>
      </c>
      <c r="AE109" s="4">
        <f>ROUND(S109*(1-(Exhaust!$B$2+AD109)),2)</f>
        <v>0</v>
      </c>
      <c r="AF109" s="5">
        <f>ROUND(T109*(1-(Exhaust!$B$3+$AD109)),2)</f>
        <v>3.95</v>
      </c>
      <c r="AG109" s="3">
        <f>ROUND(U109*(1-(Exhaust!$B$4+$AD109)),2)</f>
        <v>3.87</v>
      </c>
      <c r="AH109" s="4">
        <f>ROUND($AE109*(SUMIFS(PrefFlows!$C:$C,PrefFlows!$A:$A,$S$1,PrefFlows!$B:$B,$B109)+$AC109)+$AF109*(SUMIFS(PrefFlows!$C:$C,PrefFlows!$A:$A,$T$1,PrefFlows!$B:$B,$B109)+$AC109)+$AG109*(SUMIFS(PrefFlows!$C:$C,PrefFlows!$A:$A,$U$1,PrefFlows!$B:$B,$B109)+$AC109),2)</f>
        <v>2.41</v>
      </c>
      <c r="AI109" s="3">
        <f>ROUND($AE109*(1-(SUMIFS(PrefFlows!$C:$C,PrefFlows!$A:$A,$S$1,PrefFlows!$B:$B,$B109)+$AC109))+$AF109*(1-(SUMIFS(PrefFlows!$C:$C,PrefFlows!$A:$A,$T$1,PrefFlows!$B:$B,$B109)+$AC109))+$AG109*(1-(SUMIFS(PrefFlows!$C:$C,PrefFlows!$A:$A,$U$1,PrefFlows!$B:$B,$B109)+$AC109)),2)</f>
        <v>5.41</v>
      </c>
      <c r="AJ109" s="4">
        <f t="shared" si="43"/>
        <v>54.01</v>
      </c>
      <c r="AK109" s="3">
        <f t="shared" si="44"/>
        <v>40.19</v>
      </c>
      <c r="AL109" s="4">
        <f t="shared" si="45"/>
        <v>57.34</v>
      </c>
      <c r="AM109" s="3">
        <f t="shared" si="45"/>
        <v>42.66</v>
      </c>
      <c r="AN109" s="1">
        <f t="shared" si="50"/>
        <v>6.02</v>
      </c>
      <c r="AO109" s="1">
        <f t="shared" si="51"/>
        <v>7.67</v>
      </c>
      <c r="AP109" s="3">
        <f t="shared" si="52"/>
        <v>7.34</v>
      </c>
      <c r="AQ109" s="1" t="b">
        <f t="shared" si="46"/>
        <v>0</v>
      </c>
      <c r="AR109" s="1" t="b">
        <f t="shared" si="46"/>
        <v>0</v>
      </c>
      <c r="AS109" s="3" t="b">
        <f t="shared" si="47"/>
        <v>0</v>
      </c>
      <c r="AT109" s="1">
        <f t="shared" si="48"/>
        <v>1.6500000000000004</v>
      </c>
      <c r="AU109" s="1">
        <f t="shared" si="48"/>
        <v>1.3200000000000003</v>
      </c>
      <c r="AV109" s="3">
        <f t="shared" si="49"/>
        <v>0.33000000000000007</v>
      </c>
      <c r="AW109" s="1">
        <f>ROUND(IF($B109="NSW",N109*Meta!$B$6,N109),1)</f>
        <v>2385</v>
      </c>
      <c r="AX109" s="3">
        <f t="shared" si="53"/>
        <v>80004.3</v>
      </c>
    </row>
    <row r="110" spans="1:50" x14ac:dyDescent="0.55000000000000004">
      <c r="A110" s="2" t="s">
        <v>121</v>
      </c>
      <c r="B110" s="3" t="s">
        <v>12</v>
      </c>
      <c r="C110" s="4">
        <v>31.02</v>
      </c>
      <c r="D110" s="5">
        <v>56.74</v>
      </c>
      <c r="E110" s="5">
        <v>0</v>
      </c>
      <c r="F110" s="5">
        <v>1.26</v>
      </c>
      <c r="G110" s="5">
        <v>0</v>
      </c>
      <c r="H110" s="5">
        <v>5.29</v>
      </c>
      <c r="I110" s="5">
        <v>5.69</v>
      </c>
      <c r="J110" s="3">
        <f t="shared" si="31"/>
        <v>6.95</v>
      </c>
      <c r="K110" s="4">
        <v>61.59</v>
      </c>
      <c r="L110" s="3">
        <v>38.409999999999997</v>
      </c>
      <c r="M110" s="4">
        <v>84557</v>
      </c>
      <c r="N110" s="5">
        <v>3278</v>
      </c>
      <c r="O110" s="3">
        <f t="shared" si="32"/>
        <v>81279</v>
      </c>
      <c r="P110" s="5">
        <f t="shared" si="33"/>
        <v>3.8766749056849223E-2</v>
      </c>
      <c r="Q110" s="4">
        <f>ROUND($C110+MIN($D110:$E110)*(1-SUMIFS(PrefFlows!$C:$C,PrefFlows!$A:$A,INDEX($D$1:$E$1,MATCH(MIN($D110:$E110),$D110:$E110,0)),PrefFlows!$B:$B,$B110)),2)</f>
        <v>31.02</v>
      </c>
      <c r="R110" s="5">
        <f>ROUND(MAX($D110:$E110)+MIN($D110:$E110)*SUMIFS(PrefFlows!$C:$C,PrefFlows!$A:$A,INDEX($D$1:$E$1,MATCH(MIN($D110:$E110),$D110:$E110,0)),PrefFlows!$B:$B,$B110),2)</f>
        <v>56.74</v>
      </c>
      <c r="S110" s="5">
        <f t="shared" si="34"/>
        <v>0</v>
      </c>
      <c r="T110" s="5">
        <f t="shared" si="35"/>
        <v>5.29</v>
      </c>
      <c r="U110" s="3">
        <f t="shared" si="36"/>
        <v>6.95</v>
      </c>
      <c r="V110" s="6">
        <f t="shared" si="37"/>
        <v>25.72</v>
      </c>
      <c r="W110" s="4">
        <f>ROUND($S110*SUMIFS(PrefFlows!$C:$C,PrefFlows!$A:$A,$S$1,PrefFlows!$B:$B,$B110)+$T110*SUMIFS(PrefFlows!$C:$C,PrefFlows!$A:$A,$T$1,PrefFlows!$B:$B,$B110)+$U110*SUMIFS(PrefFlows!$C:$C,PrefFlows!$A:$A,$U$1,PrefFlows!$B:$B,$B110),2)</f>
        <v>4.6900000000000004</v>
      </c>
      <c r="X110" s="3">
        <f>ROUND($S110*(1-SUMIFS(PrefFlows!$C:$C,PrefFlows!$A:$A,$S$1,PrefFlows!$B:$B,$B110))+$T110*(1-SUMIFS(PrefFlows!$C:$C,PrefFlows!$A:$A,$T$1,PrefFlows!$B:$B,$B110))+$U110*(1-SUMIFS(PrefFlows!$C:$C,PrefFlows!$A:$A,$U$1,PrefFlows!$B:$B,$B110)),2)</f>
        <v>7.55</v>
      </c>
      <c r="Y110" s="4">
        <f t="shared" si="38"/>
        <v>4.8499999999999996</v>
      </c>
      <c r="Z110" s="3">
        <f t="shared" si="39"/>
        <v>7.39</v>
      </c>
      <c r="AA110" s="4">
        <f t="shared" si="40"/>
        <v>0.38319999999999999</v>
      </c>
      <c r="AB110" s="5">
        <f t="shared" si="41"/>
        <v>0.3962</v>
      </c>
      <c r="AC110" s="5">
        <f t="shared" si="42"/>
        <v>1.2999999999999999E-2</v>
      </c>
      <c r="AD110" s="3">
        <v>5.8228175058718398E-2</v>
      </c>
      <c r="AE110" s="4">
        <f>ROUND(S110*(1-(Exhaust!$B$2+AD110)),2)</f>
        <v>0</v>
      </c>
      <c r="AF110" s="5">
        <f>ROUND(T110*(1-(Exhaust!$B$3+$AD110)),2)</f>
        <v>2.87</v>
      </c>
      <c r="AG110" s="3">
        <f>ROUND(U110*(1-(Exhaust!$B$4+$AD110)),2)</f>
        <v>3.07</v>
      </c>
      <c r="AH110" s="4">
        <f>ROUND($AE110*(SUMIFS(PrefFlows!$C:$C,PrefFlows!$A:$A,$S$1,PrefFlows!$B:$B,$B110)+$AC110)+$AF110*(SUMIFS(PrefFlows!$C:$C,PrefFlows!$A:$A,$T$1,PrefFlows!$B:$B,$B110)+$AC110)+$AG110*(SUMIFS(PrefFlows!$C:$C,PrefFlows!$A:$A,$U$1,PrefFlows!$B:$B,$B110)+$AC110),2)</f>
        <v>2.25</v>
      </c>
      <c r="AI110" s="3">
        <f>ROUND($AE110*(1-(SUMIFS(PrefFlows!$C:$C,PrefFlows!$A:$A,$S$1,PrefFlows!$B:$B,$B110)+$AC110))+$AF110*(1-(SUMIFS(PrefFlows!$C:$C,PrefFlows!$A:$A,$T$1,PrefFlows!$B:$B,$B110)+$AC110))+$AG110*(1-(SUMIFS(PrefFlows!$C:$C,PrefFlows!$A:$A,$U$1,PrefFlows!$B:$B,$B110)+$AC110)),2)</f>
        <v>3.69</v>
      </c>
      <c r="AJ110" s="4">
        <f t="shared" si="43"/>
        <v>58.99</v>
      </c>
      <c r="AK110" s="3">
        <f t="shared" si="44"/>
        <v>34.71</v>
      </c>
      <c r="AL110" s="4">
        <f t="shared" si="45"/>
        <v>62.96</v>
      </c>
      <c r="AM110" s="3">
        <f t="shared" si="45"/>
        <v>37.04</v>
      </c>
      <c r="AN110" s="1">
        <f t="shared" si="50"/>
        <v>11.59</v>
      </c>
      <c r="AO110" s="1">
        <f t="shared" si="51"/>
        <v>12.96</v>
      </c>
      <c r="AP110" s="3">
        <f t="shared" si="52"/>
        <v>12.96</v>
      </c>
      <c r="AQ110" s="1" t="b">
        <f t="shared" si="46"/>
        <v>0</v>
      </c>
      <c r="AR110" s="1" t="b">
        <f t="shared" si="46"/>
        <v>0</v>
      </c>
      <c r="AS110" s="3" t="b">
        <f t="shared" si="47"/>
        <v>0</v>
      </c>
      <c r="AT110" s="1">
        <f t="shared" si="48"/>
        <v>1.370000000000001</v>
      </c>
      <c r="AU110" s="1">
        <f t="shared" si="48"/>
        <v>1.370000000000001</v>
      </c>
      <c r="AV110" s="3">
        <f t="shared" si="49"/>
        <v>0</v>
      </c>
      <c r="AW110" s="1">
        <f>ROUND(IF($B110="NSW",N110*Meta!$B$6,N110),1)</f>
        <v>2153.6</v>
      </c>
      <c r="AX110" s="3">
        <f t="shared" si="53"/>
        <v>77924.600000000006</v>
      </c>
    </row>
    <row r="111" spans="1:50" x14ac:dyDescent="0.55000000000000004">
      <c r="A111" s="2" t="s">
        <v>122</v>
      </c>
      <c r="B111" s="3" t="s">
        <v>22</v>
      </c>
      <c r="C111" s="4">
        <v>30.01</v>
      </c>
      <c r="D111" s="5">
        <v>59.77</v>
      </c>
      <c r="E111" s="5">
        <v>0</v>
      </c>
      <c r="F111" s="5">
        <v>1.77</v>
      </c>
      <c r="G111" s="5">
        <v>0</v>
      </c>
      <c r="H111" s="5">
        <v>6.21</v>
      </c>
      <c r="I111" s="5">
        <v>2.2400000000000002</v>
      </c>
      <c r="J111" s="3">
        <f t="shared" si="31"/>
        <v>4.01</v>
      </c>
      <c r="K111" s="4">
        <v>64.010000000000005</v>
      </c>
      <c r="L111" s="3">
        <v>35.99</v>
      </c>
      <c r="M111" s="4">
        <v>84487</v>
      </c>
      <c r="N111" s="5">
        <v>3186</v>
      </c>
      <c r="O111" s="3">
        <f t="shared" si="32"/>
        <v>81301</v>
      </c>
      <c r="P111" s="5">
        <f t="shared" si="33"/>
        <v>3.7709943541609954E-2</v>
      </c>
      <c r="Q111" s="4">
        <f>ROUND($C111+MIN($D111:$E111)*(1-SUMIFS(PrefFlows!$C:$C,PrefFlows!$A:$A,INDEX($D$1:$E$1,MATCH(MIN($D111:$E111),$D111:$E111,0)),PrefFlows!$B:$B,$B111)),2)</f>
        <v>30.01</v>
      </c>
      <c r="R111" s="5">
        <f>ROUND(MAX($D111:$E111)+MIN($D111:$E111)*SUMIFS(PrefFlows!$C:$C,PrefFlows!$A:$A,INDEX($D$1:$E$1,MATCH(MIN($D111:$E111),$D111:$E111,0)),PrefFlows!$B:$B,$B111),2)</f>
        <v>59.77</v>
      </c>
      <c r="S111" s="5">
        <f t="shared" si="34"/>
        <v>0</v>
      </c>
      <c r="T111" s="5">
        <f t="shared" si="35"/>
        <v>6.21</v>
      </c>
      <c r="U111" s="3">
        <f t="shared" si="36"/>
        <v>4.01</v>
      </c>
      <c r="V111" s="6">
        <f t="shared" si="37"/>
        <v>29.76</v>
      </c>
      <c r="W111" s="4">
        <f>ROUND($S111*SUMIFS(PrefFlows!$C:$C,PrefFlows!$A:$A,$S$1,PrefFlows!$B:$B,$B111)+$T111*SUMIFS(PrefFlows!$C:$C,PrefFlows!$A:$A,$T$1,PrefFlows!$B:$B,$B111)+$U111*SUMIFS(PrefFlows!$C:$C,PrefFlows!$A:$A,$U$1,PrefFlows!$B:$B,$B111),2)</f>
        <v>3.57</v>
      </c>
      <c r="X111" s="3">
        <f>ROUND($S111*(1-SUMIFS(PrefFlows!$C:$C,PrefFlows!$A:$A,$S$1,PrefFlows!$B:$B,$B111))+$T111*(1-SUMIFS(PrefFlows!$C:$C,PrefFlows!$A:$A,$T$1,PrefFlows!$B:$B,$B111))+$U111*(1-SUMIFS(PrefFlows!$C:$C,PrefFlows!$A:$A,$U$1,PrefFlows!$B:$B,$B111)),2)</f>
        <v>6.65</v>
      </c>
      <c r="Y111" s="4">
        <f t="shared" si="38"/>
        <v>4.24</v>
      </c>
      <c r="Z111" s="3">
        <f t="shared" si="39"/>
        <v>5.98</v>
      </c>
      <c r="AA111" s="4">
        <f t="shared" si="40"/>
        <v>0.3493</v>
      </c>
      <c r="AB111" s="5">
        <f t="shared" si="41"/>
        <v>0.41489999999999999</v>
      </c>
      <c r="AC111" s="5">
        <f t="shared" si="42"/>
        <v>6.5600000000000006E-2</v>
      </c>
      <c r="AD111" s="3">
        <v>0.100439546389228</v>
      </c>
      <c r="AE111" s="4">
        <f>ROUND(S111*(1-(Exhaust!$B$2+AD111)),2)</f>
        <v>0</v>
      </c>
      <c r="AF111" s="5">
        <f>ROUND(T111*(1-(Exhaust!$B$3+$AD111)),2)</f>
        <v>3.1</v>
      </c>
      <c r="AG111" s="3">
        <f>ROUND(U111*(1-(Exhaust!$B$4+$AD111)),2)</f>
        <v>1.6</v>
      </c>
      <c r="AH111" s="4">
        <f>ROUND($AE111*(SUMIFS(PrefFlows!$C:$C,PrefFlows!$A:$A,$S$1,PrefFlows!$B:$B,$B111)+$AC111)+$AF111*(SUMIFS(PrefFlows!$C:$C,PrefFlows!$A:$A,$T$1,PrefFlows!$B:$B,$B111)+$AC111)+$AG111*(SUMIFS(PrefFlows!$C:$C,PrefFlows!$A:$A,$U$1,PrefFlows!$B:$B,$B111)+$AC111),2)</f>
        <v>1.89</v>
      </c>
      <c r="AI111" s="3">
        <f>ROUND($AE111*(1-(SUMIFS(PrefFlows!$C:$C,PrefFlows!$A:$A,$S$1,PrefFlows!$B:$B,$B111)+$AC111))+$AF111*(1-(SUMIFS(PrefFlows!$C:$C,PrefFlows!$A:$A,$T$1,PrefFlows!$B:$B,$B111)+$AC111))+$AG111*(1-(SUMIFS(PrefFlows!$C:$C,PrefFlows!$A:$A,$U$1,PrefFlows!$B:$B,$B111)+$AC111)),2)</f>
        <v>2.81</v>
      </c>
      <c r="AJ111" s="4">
        <f t="shared" si="43"/>
        <v>61.66</v>
      </c>
      <c r="AK111" s="3">
        <f t="shared" si="44"/>
        <v>32.82</v>
      </c>
      <c r="AL111" s="4">
        <f t="shared" si="45"/>
        <v>65.260000000000005</v>
      </c>
      <c r="AM111" s="3">
        <f t="shared" si="45"/>
        <v>34.74</v>
      </c>
      <c r="AN111" s="1">
        <f t="shared" si="50"/>
        <v>14.01</v>
      </c>
      <c r="AO111" s="1">
        <f t="shared" si="51"/>
        <v>15.17</v>
      </c>
      <c r="AP111" s="3">
        <f t="shared" si="52"/>
        <v>15.26</v>
      </c>
      <c r="AQ111" s="1" t="b">
        <f t="shared" si="46"/>
        <v>0</v>
      </c>
      <c r="AR111" s="1" t="b">
        <f t="shared" si="46"/>
        <v>0</v>
      </c>
      <c r="AS111" s="3" t="b">
        <f t="shared" si="47"/>
        <v>0</v>
      </c>
      <c r="AT111" s="1">
        <f t="shared" si="48"/>
        <v>1.1600000000000001</v>
      </c>
      <c r="AU111" s="1">
        <f t="shared" si="48"/>
        <v>1.25</v>
      </c>
      <c r="AV111" s="3">
        <f t="shared" si="49"/>
        <v>8.9999999999999858E-2</v>
      </c>
      <c r="AW111" s="1">
        <f>ROUND(IF($B111="NSW",N111*Meta!$B$6,N111),1)</f>
        <v>3186</v>
      </c>
      <c r="AX111" s="3">
        <f t="shared" si="53"/>
        <v>77876.100000000006</v>
      </c>
    </row>
    <row r="112" spans="1:50" x14ac:dyDescent="0.55000000000000004">
      <c r="A112" s="2" t="s">
        <v>123</v>
      </c>
      <c r="B112" s="3" t="s">
        <v>30</v>
      </c>
      <c r="C112" s="4">
        <v>32.590000000000003</v>
      </c>
      <c r="D112" s="5">
        <v>54.45</v>
      </c>
      <c r="E112" s="5">
        <v>0</v>
      </c>
      <c r="F112" s="5">
        <v>1.1499999999999999</v>
      </c>
      <c r="G112" s="5">
        <v>1.02</v>
      </c>
      <c r="H112" s="5">
        <v>8.4</v>
      </c>
      <c r="I112" s="5">
        <v>3.41</v>
      </c>
      <c r="J112" s="3">
        <f t="shared" si="31"/>
        <v>3.54</v>
      </c>
      <c r="K112" s="4">
        <v>59.17</v>
      </c>
      <c r="L112" s="3">
        <v>40.83</v>
      </c>
      <c r="M112" s="4">
        <v>72422</v>
      </c>
      <c r="N112" s="5">
        <v>2151</v>
      </c>
      <c r="O112" s="3">
        <f t="shared" si="32"/>
        <v>70271</v>
      </c>
      <c r="P112" s="5">
        <f t="shared" si="33"/>
        <v>2.9700919610063239E-2</v>
      </c>
      <c r="Q112" s="4">
        <f>ROUND($C112+MIN($D112:$E112)*(1-SUMIFS(PrefFlows!$C:$C,PrefFlows!$A:$A,INDEX($D$1:$E$1,MATCH(MIN($D112:$E112),$D112:$E112,0)),PrefFlows!$B:$B,$B112)),2)</f>
        <v>32.590000000000003</v>
      </c>
      <c r="R112" s="5">
        <f>ROUND(MAX($D112:$E112)+MIN($D112:$E112)*SUMIFS(PrefFlows!$C:$C,PrefFlows!$A:$A,INDEX($D$1:$E$1,MATCH(MIN($D112:$E112),$D112:$E112,0)),PrefFlows!$B:$B,$B112),2)</f>
        <v>54.45</v>
      </c>
      <c r="S112" s="5">
        <f t="shared" si="34"/>
        <v>1.02</v>
      </c>
      <c r="T112" s="5">
        <f t="shared" si="35"/>
        <v>8.4</v>
      </c>
      <c r="U112" s="3">
        <f t="shared" si="36"/>
        <v>3.54</v>
      </c>
      <c r="V112" s="6">
        <f t="shared" si="37"/>
        <v>21.86</v>
      </c>
      <c r="W112" s="4">
        <f>ROUND($S112*SUMIFS(PrefFlows!$C:$C,PrefFlows!$A:$A,$S$1,PrefFlows!$B:$B,$B112)+$T112*SUMIFS(PrefFlows!$C:$C,PrefFlows!$A:$A,$T$1,PrefFlows!$B:$B,$B112)+$U112*SUMIFS(PrefFlows!$C:$C,PrefFlows!$A:$A,$U$1,PrefFlows!$B:$B,$B112),2)</f>
        <v>4.38</v>
      </c>
      <c r="X112" s="3">
        <f>ROUND($S112*(1-SUMIFS(PrefFlows!$C:$C,PrefFlows!$A:$A,$S$1,PrefFlows!$B:$B,$B112))+$T112*(1-SUMIFS(PrefFlows!$C:$C,PrefFlows!$A:$A,$T$1,PrefFlows!$B:$B,$B112))+$U112*(1-SUMIFS(PrefFlows!$C:$C,PrefFlows!$A:$A,$U$1,PrefFlows!$B:$B,$B112)),2)</f>
        <v>8.58</v>
      </c>
      <c r="Y112" s="4">
        <f t="shared" si="38"/>
        <v>4.72</v>
      </c>
      <c r="Z112" s="3">
        <f t="shared" si="39"/>
        <v>8.24</v>
      </c>
      <c r="AA112" s="4">
        <f t="shared" si="40"/>
        <v>0.33800000000000002</v>
      </c>
      <c r="AB112" s="5">
        <f t="shared" si="41"/>
        <v>0.36420000000000002</v>
      </c>
      <c r="AC112" s="5">
        <f t="shared" si="42"/>
        <v>2.6200000000000001E-2</v>
      </c>
      <c r="AD112" s="3">
        <v>3.89793777474121E-2</v>
      </c>
      <c r="AE112" s="4">
        <f>ROUND(S112*(1-(Exhaust!$B$2+AD112)),2)</f>
        <v>0.41</v>
      </c>
      <c r="AF112" s="5">
        <f>ROUND(T112*(1-(Exhaust!$B$3+$AD112)),2)</f>
        <v>4.71</v>
      </c>
      <c r="AG112" s="3">
        <f>ROUND(U112*(1-(Exhaust!$B$4+$AD112)),2)</f>
        <v>1.63</v>
      </c>
      <c r="AH112" s="4">
        <f>ROUND($AE112*(SUMIFS(PrefFlows!$C:$C,PrefFlows!$A:$A,$S$1,PrefFlows!$B:$B,$B112)+$AC112)+$AF112*(SUMIFS(PrefFlows!$C:$C,PrefFlows!$A:$A,$T$1,PrefFlows!$B:$B,$B112)+$AC112)+$AG112*(SUMIFS(PrefFlows!$C:$C,PrefFlows!$A:$A,$U$1,PrefFlows!$B:$B,$B112)+$AC112),2)</f>
        <v>2.37</v>
      </c>
      <c r="AI112" s="3">
        <f>ROUND($AE112*(1-(SUMIFS(PrefFlows!$C:$C,PrefFlows!$A:$A,$S$1,PrefFlows!$B:$B,$B112)+$AC112))+$AF112*(1-(SUMIFS(PrefFlows!$C:$C,PrefFlows!$A:$A,$T$1,PrefFlows!$B:$B,$B112)+$AC112))+$AG112*(1-(SUMIFS(PrefFlows!$C:$C,PrefFlows!$A:$A,$U$1,PrefFlows!$B:$B,$B112)+$AC112)),2)</f>
        <v>4.38</v>
      </c>
      <c r="AJ112" s="4">
        <f t="shared" si="43"/>
        <v>56.82</v>
      </c>
      <c r="AK112" s="3">
        <f t="shared" si="44"/>
        <v>36.97</v>
      </c>
      <c r="AL112" s="4">
        <f t="shared" si="45"/>
        <v>60.58</v>
      </c>
      <c r="AM112" s="3">
        <f t="shared" si="45"/>
        <v>39.42</v>
      </c>
      <c r="AN112" s="1">
        <f t="shared" si="50"/>
        <v>9.17</v>
      </c>
      <c r="AO112" s="1">
        <f t="shared" si="51"/>
        <v>10.68</v>
      </c>
      <c r="AP112" s="3">
        <f t="shared" si="52"/>
        <v>10.58</v>
      </c>
      <c r="AQ112" s="1" t="b">
        <f t="shared" si="46"/>
        <v>0</v>
      </c>
      <c r="AR112" s="1" t="b">
        <f t="shared" si="46"/>
        <v>0</v>
      </c>
      <c r="AS112" s="3" t="b">
        <f t="shared" si="47"/>
        <v>0</v>
      </c>
      <c r="AT112" s="1">
        <f t="shared" si="48"/>
        <v>1.5099999999999998</v>
      </c>
      <c r="AU112" s="1">
        <f t="shared" si="48"/>
        <v>1.4100000000000001</v>
      </c>
      <c r="AV112" s="3">
        <f t="shared" si="49"/>
        <v>9.9999999999999645E-2</v>
      </c>
      <c r="AW112" s="1">
        <f>ROUND(IF($B112="NSW",N112*Meta!$B$6,N112),1)</f>
        <v>2151</v>
      </c>
      <c r="AX112" s="3">
        <f t="shared" si="53"/>
        <v>66619.600000000006</v>
      </c>
    </row>
    <row r="113" spans="1:50" x14ac:dyDescent="0.55000000000000004">
      <c r="A113" s="2" t="s">
        <v>124</v>
      </c>
      <c r="B113" s="3" t="s">
        <v>22</v>
      </c>
      <c r="C113" s="4">
        <v>47.11</v>
      </c>
      <c r="D113" s="5">
        <v>42.16</v>
      </c>
      <c r="E113" s="5">
        <v>0</v>
      </c>
      <c r="F113" s="5">
        <v>1.38</v>
      </c>
      <c r="G113" s="5">
        <v>0</v>
      </c>
      <c r="H113" s="5">
        <v>6.89</v>
      </c>
      <c r="I113" s="5">
        <v>2.46</v>
      </c>
      <c r="J113" s="3">
        <f t="shared" si="31"/>
        <v>3.84</v>
      </c>
      <c r="K113" s="4">
        <v>45.25</v>
      </c>
      <c r="L113" s="3">
        <v>54.75</v>
      </c>
      <c r="M113" s="4">
        <v>83077</v>
      </c>
      <c r="N113" s="5">
        <v>2611</v>
      </c>
      <c r="O113" s="3">
        <f t="shared" si="32"/>
        <v>80466</v>
      </c>
      <c r="P113" s="5">
        <f t="shared" si="33"/>
        <v>3.142867460307907E-2</v>
      </c>
      <c r="Q113" s="4">
        <f>ROUND($C113+MIN($D113:$E113)*(1-SUMIFS(PrefFlows!$C:$C,PrefFlows!$A:$A,INDEX($D$1:$E$1,MATCH(MIN($D113:$E113),$D113:$E113,0)),PrefFlows!$B:$B,$B113)),2)</f>
        <v>47.11</v>
      </c>
      <c r="R113" s="5">
        <f>ROUND(MAX($D113:$E113)+MIN($D113:$E113)*SUMIFS(PrefFlows!$C:$C,PrefFlows!$A:$A,INDEX($D$1:$E$1,MATCH(MIN($D113:$E113),$D113:$E113,0)),PrefFlows!$B:$B,$B113),2)</f>
        <v>42.16</v>
      </c>
      <c r="S113" s="5">
        <f t="shared" si="34"/>
        <v>0</v>
      </c>
      <c r="T113" s="5">
        <f t="shared" si="35"/>
        <v>6.89</v>
      </c>
      <c r="U113" s="3">
        <f t="shared" si="36"/>
        <v>3.84</v>
      </c>
      <c r="V113" s="6">
        <f t="shared" si="37"/>
        <v>-4.95</v>
      </c>
      <c r="W113" s="4">
        <f>ROUND($S113*SUMIFS(PrefFlows!$C:$C,PrefFlows!$A:$A,$S$1,PrefFlows!$B:$B,$B113)+$T113*SUMIFS(PrefFlows!$C:$C,PrefFlows!$A:$A,$T$1,PrefFlows!$B:$B,$B113)+$U113*SUMIFS(PrefFlows!$C:$C,PrefFlows!$A:$A,$U$1,PrefFlows!$B:$B,$B113),2)</f>
        <v>3.65</v>
      </c>
      <c r="X113" s="3">
        <f>ROUND($S113*(1-SUMIFS(PrefFlows!$C:$C,PrefFlows!$A:$A,$S$1,PrefFlows!$B:$B,$B113))+$T113*(1-SUMIFS(PrefFlows!$C:$C,PrefFlows!$A:$A,$T$1,PrefFlows!$B:$B,$B113))+$U113*(1-SUMIFS(PrefFlows!$C:$C,PrefFlows!$A:$A,$U$1,PrefFlows!$B:$B,$B113)),2)</f>
        <v>7.08</v>
      </c>
      <c r="Y113" s="4">
        <f t="shared" si="38"/>
        <v>3.09</v>
      </c>
      <c r="Z113" s="3">
        <f t="shared" si="39"/>
        <v>7.64</v>
      </c>
      <c r="AA113" s="4">
        <f t="shared" si="40"/>
        <v>0.3402</v>
      </c>
      <c r="AB113" s="5">
        <f t="shared" si="41"/>
        <v>0.28799999999999998</v>
      </c>
      <c r="AC113" s="5">
        <f t="shared" si="42"/>
        <v>-5.2200000000000003E-2</v>
      </c>
      <c r="AD113" s="3">
        <v>-9.8084095115045199E-3</v>
      </c>
      <c r="AE113" s="4">
        <f>ROUND(S113*(1-(Exhaust!$B$2+AD113)),2)</f>
        <v>0</v>
      </c>
      <c r="AF113" s="5">
        <f>ROUND(T113*(1-(Exhaust!$B$3+$AD113)),2)</f>
        <v>4.2</v>
      </c>
      <c r="AG113" s="3">
        <f>ROUND(U113*(1-(Exhaust!$B$4+$AD113)),2)</f>
        <v>1.96</v>
      </c>
      <c r="AH113" s="4">
        <f>ROUND($AE113*(SUMIFS(PrefFlows!$C:$C,PrefFlows!$A:$A,$S$1,PrefFlows!$B:$B,$B113)+$AC113)+$AF113*(SUMIFS(PrefFlows!$C:$C,PrefFlows!$A:$A,$T$1,PrefFlows!$B:$B,$B113)+$AC113)+$AG113*(SUMIFS(PrefFlows!$C:$C,PrefFlows!$A:$A,$U$1,PrefFlows!$B:$B,$B113)+$AC113),2)</f>
        <v>1.71</v>
      </c>
      <c r="AI113" s="3">
        <f>ROUND($AE113*(1-(SUMIFS(PrefFlows!$C:$C,PrefFlows!$A:$A,$S$1,PrefFlows!$B:$B,$B113)+$AC113))+$AF113*(1-(SUMIFS(PrefFlows!$C:$C,PrefFlows!$A:$A,$T$1,PrefFlows!$B:$B,$B113)+$AC113))+$AG113*(1-(SUMIFS(PrefFlows!$C:$C,PrefFlows!$A:$A,$U$1,PrefFlows!$B:$B,$B113)+$AC113)),2)</f>
        <v>4.45</v>
      </c>
      <c r="AJ113" s="4">
        <f t="shared" si="43"/>
        <v>43.87</v>
      </c>
      <c r="AK113" s="3">
        <f t="shared" si="44"/>
        <v>51.56</v>
      </c>
      <c r="AL113" s="4">
        <f t="shared" si="45"/>
        <v>45.97</v>
      </c>
      <c r="AM113" s="3">
        <f t="shared" si="45"/>
        <v>54.03</v>
      </c>
      <c r="AN113" s="1">
        <f t="shared" si="50"/>
        <v>-4.75</v>
      </c>
      <c r="AO113" s="1">
        <f t="shared" si="51"/>
        <v>-3.86</v>
      </c>
      <c r="AP113" s="3">
        <f t="shared" si="52"/>
        <v>-4.03</v>
      </c>
      <c r="AQ113" s="1" t="b">
        <f t="shared" si="46"/>
        <v>0</v>
      </c>
      <c r="AR113" s="1" t="b">
        <f t="shared" si="46"/>
        <v>0</v>
      </c>
      <c r="AS113" s="3" t="b">
        <f t="shared" si="47"/>
        <v>0</v>
      </c>
      <c r="AT113" s="1">
        <f t="shared" si="48"/>
        <v>0.89000000000000012</v>
      </c>
      <c r="AU113" s="1">
        <f t="shared" si="48"/>
        <v>0.71999999999999975</v>
      </c>
      <c r="AV113" s="3">
        <f t="shared" si="49"/>
        <v>0.17000000000000037</v>
      </c>
      <c r="AW113" s="1">
        <f>ROUND(IF($B113="NSW",N113*Meta!$B$6,N113),1)</f>
        <v>2611</v>
      </c>
      <c r="AX113" s="3">
        <f t="shared" si="53"/>
        <v>77668.600000000006</v>
      </c>
    </row>
    <row r="114" spans="1:50" x14ac:dyDescent="0.55000000000000004">
      <c r="A114" s="2" t="s">
        <v>125</v>
      </c>
      <c r="B114" s="3" t="s">
        <v>9</v>
      </c>
      <c r="C114" s="4">
        <v>24.11</v>
      </c>
      <c r="D114" s="5">
        <v>62.07</v>
      </c>
      <c r="E114" s="5">
        <v>0</v>
      </c>
      <c r="F114" s="5">
        <v>3.32</v>
      </c>
      <c r="G114" s="5">
        <v>0</v>
      </c>
      <c r="H114" s="5">
        <v>2.95</v>
      </c>
      <c r="I114" s="5">
        <v>7.55</v>
      </c>
      <c r="J114" s="3">
        <f t="shared" si="31"/>
        <v>10.87</v>
      </c>
      <c r="K114" s="4">
        <v>68.260000000000005</v>
      </c>
      <c r="L114" s="3">
        <v>31.74</v>
      </c>
      <c r="M114" s="4">
        <v>85053</v>
      </c>
      <c r="N114" s="5">
        <v>4461</v>
      </c>
      <c r="O114" s="3">
        <f t="shared" si="32"/>
        <v>80592</v>
      </c>
      <c r="P114" s="5">
        <f t="shared" si="33"/>
        <v>5.2449649042361823E-2</v>
      </c>
      <c r="Q114" s="4">
        <f>ROUND($C114+MIN($D114:$E114)*(1-SUMIFS(PrefFlows!$C:$C,PrefFlows!$A:$A,INDEX($D$1:$E$1,MATCH(MIN($D114:$E114),$D114:$E114,0)),PrefFlows!$B:$B,$B114)),2)</f>
        <v>24.11</v>
      </c>
      <c r="R114" s="5">
        <f>ROUND(MAX($D114:$E114)+MIN($D114:$E114)*SUMIFS(PrefFlows!$C:$C,PrefFlows!$A:$A,INDEX($D$1:$E$1,MATCH(MIN($D114:$E114),$D114:$E114,0)),PrefFlows!$B:$B,$B114),2)</f>
        <v>62.07</v>
      </c>
      <c r="S114" s="5">
        <f t="shared" si="34"/>
        <v>0</v>
      </c>
      <c r="T114" s="5">
        <f t="shared" si="35"/>
        <v>2.95</v>
      </c>
      <c r="U114" s="3">
        <f t="shared" si="36"/>
        <v>10.87</v>
      </c>
      <c r="V114" s="6">
        <f t="shared" si="37"/>
        <v>37.96</v>
      </c>
      <c r="W114" s="4">
        <f>ROUND($S114*SUMIFS(PrefFlows!$C:$C,PrefFlows!$A:$A,$S$1,PrefFlows!$B:$B,$B114)+$T114*SUMIFS(PrefFlows!$C:$C,PrefFlows!$A:$A,$T$1,PrefFlows!$B:$B,$B114)+$U114*SUMIFS(PrefFlows!$C:$C,PrefFlows!$A:$A,$U$1,PrefFlows!$B:$B,$B114),2)</f>
        <v>6.29</v>
      </c>
      <c r="X114" s="3">
        <f>ROUND($S114*(1-SUMIFS(PrefFlows!$C:$C,PrefFlows!$A:$A,$S$1,PrefFlows!$B:$B,$B114))+$T114*(1-SUMIFS(PrefFlows!$C:$C,PrefFlows!$A:$A,$T$1,PrefFlows!$B:$B,$B114))+$U114*(1-SUMIFS(PrefFlows!$C:$C,PrefFlows!$A:$A,$U$1,PrefFlows!$B:$B,$B114)),2)</f>
        <v>7.53</v>
      </c>
      <c r="Y114" s="4">
        <f t="shared" si="38"/>
        <v>6.19</v>
      </c>
      <c r="Z114" s="3">
        <f t="shared" si="39"/>
        <v>7.63</v>
      </c>
      <c r="AA114" s="4">
        <f t="shared" si="40"/>
        <v>0.4551</v>
      </c>
      <c r="AB114" s="5">
        <f t="shared" si="41"/>
        <v>0.44790000000000002</v>
      </c>
      <c r="AC114" s="5">
        <f t="shared" si="42"/>
        <v>-7.1999999999999998E-3</v>
      </c>
      <c r="AD114" s="3">
        <v>-2.1726500932581799E-2</v>
      </c>
      <c r="AE114" s="4">
        <f>ROUND(S114*(1-(Exhaust!$B$2+AD114)),2)</f>
        <v>0</v>
      </c>
      <c r="AF114" s="5">
        <f>ROUND(T114*(1-(Exhaust!$B$3+$AD114)),2)</f>
        <v>1.83</v>
      </c>
      <c r="AG114" s="3">
        <f>ROUND(U114*(1-(Exhaust!$B$4+$AD114)),2)</f>
        <v>5.67</v>
      </c>
      <c r="AH114" s="4">
        <f>ROUND($AE114*(SUMIFS(PrefFlows!$C:$C,PrefFlows!$A:$A,$S$1,PrefFlows!$B:$B,$B114)+$AC114)+$AF114*(SUMIFS(PrefFlows!$C:$C,PrefFlows!$A:$A,$T$1,PrefFlows!$B:$B,$B114)+$AC114)+$AG114*(SUMIFS(PrefFlows!$C:$C,PrefFlows!$A:$A,$U$1,PrefFlows!$B:$B,$B114)+$AC114),2)</f>
        <v>3.28</v>
      </c>
      <c r="AI114" s="3">
        <f>ROUND($AE114*(1-(SUMIFS(PrefFlows!$C:$C,PrefFlows!$A:$A,$S$1,PrefFlows!$B:$B,$B114)+$AC114))+$AF114*(1-(SUMIFS(PrefFlows!$C:$C,PrefFlows!$A:$A,$T$1,PrefFlows!$B:$B,$B114)+$AC114))+$AG114*(1-(SUMIFS(PrefFlows!$C:$C,PrefFlows!$A:$A,$U$1,PrefFlows!$B:$B,$B114)+$AC114)),2)</f>
        <v>4.22</v>
      </c>
      <c r="AJ114" s="4">
        <f t="shared" si="43"/>
        <v>65.349999999999994</v>
      </c>
      <c r="AK114" s="3">
        <f t="shared" si="44"/>
        <v>28.33</v>
      </c>
      <c r="AL114" s="4">
        <f t="shared" si="45"/>
        <v>69.760000000000005</v>
      </c>
      <c r="AM114" s="3">
        <f t="shared" si="45"/>
        <v>30.24</v>
      </c>
      <c r="AN114" s="1">
        <f t="shared" si="50"/>
        <v>18.260000000000002</v>
      </c>
      <c r="AO114" s="1">
        <f t="shared" si="51"/>
        <v>19.93</v>
      </c>
      <c r="AP114" s="3">
        <f t="shared" si="52"/>
        <v>19.760000000000002</v>
      </c>
      <c r="AQ114" s="1" t="b">
        <f t="shared" si="46"/>
        <v>0</v>
      </c>
      <c r="AR114" s="1" t="b">
        <f t="shared" si="46"/>
        <v>0</v>
      </c>
      <c r="AS114" s="3" t="b">
        <f t="shared" si="47"/>
        <v>0</v>
      </c>
      <c r="AT114" s="1">
        <f t="shared" si="48"/>
        <v>1.6699999999999982</v>
      </c>
      <c r="AU114" s="1">
        <f t="shared" si="48"/>
        <v>1.5</v>
      </c>
      <c r="AV114" s="3">
        <f t="shared" si="49"/>
        <v>0.16999999999999815</v>
      </c>
      <c r="AW114" s="1">
        <f>ROUND(IF($B114="NSW",N114*Meta!$B$6,N114),1)</f>
        <v>4461</v>
      </c>
      <c r="AX114" s="3">
        <f t="shared" si="53"/>
        <v>76974.3</v>
      </c>
    </row>
    <row r="115" spans="1:50" x14ac:dyDescent="0.55000000000000004">
      <c r="A115" s="2" t="s">
        <v>126</v>
      </c>
      <c r="B115" s="3" t="s">
        <v>12</v>
      </c>
      <c r="C115" s="4">
        <v>9.83</v>
      </c>
      <c r="D115" s="5">
        <v>0</v>
      </c>
      <c r="E115" s="5">
        <v>23.31</v>
      </c>
      <c r="F115" s="5">
        <v>0</v>
      </c>
      <c r="G115" s="5">
        <v>1.26</v>
      </c>
      <c r="H115" s="5">
        <v>3.4</v>
      </c>
      <c r="I115" s="5">
        <v>63.46</v>
      </c>
      <c r="J115" s="3">
        <f t="shared" si="31"/>
        <v>62.2</v>
      </c>
      <c r="K115" s="4">
        <v>64.8</v>
      </c>
      <c r="L115" s="3">
        <v>35.200000000000003</v>
      </c>
      <c r="M115" s="4">
        <v>87662</v>
      </c>
      <c r="N115" s="5">
        <v>2522</v>
      </c>
      <c r="O115" s="3">
        <f t="shared" si="32"/>
        <v>85140</v>
      </c>
      <c r="P115" s="5">
        <f t="shared" si="33"/>
        <v>2.8769592297688849E-2</v>
      </c>
      <c r="Q115" s="4">
        <f>ROUND($C115+MIN($D115:$E115)*(1-SUMIFS(PrefFlows!$C:$C,PrefFlows!$A:$A,INDEX($D$1:$E$1,MATCH(MIN($D115:$E115),$D115:$E115,0)),PrefFlows!$B:$B,$B115)),2)</f>
        <v>9.83</v>
      </c>
      <c r="R115" s="5">
        <f>ROUND(MAX($D115:$E115)+MIN($D115:$E115)*SUMIFS(PrefFlows!$C:$C,PrefFlows!$A:$A,INDEX($D$1:$E$1,MATCH(MIN($D115:$E115),$D115:$E115,0)),PrefFlows!$B:$B,$B115),2)</f>
        <v>23.31</v>
      </c>
      <c r="S115" s="5">
        <f t="shared" si="34"/>
        <v>1.26</v>
      </c>
      <c r="T115" s="5">
        <f t="shared" si="35"/>
        <v>3.4</v>
      </c>
      <c r="U115" s="3">
        <f t="shared" si="36"/>
        <v>62.2</v>
      </c>
      <c r="V115" s="6">
        <f t="shared" si="37"/>
        <v>13.48</v>
      </c>
      <c r="W115" s="4">
        <f>ROUND($S115*SUMIFS(PrefFlows!$C:$C,PrefFlows!$A:$A,$S$1,PrefFlows!$B:$B,$B115)+$T115*SUMIFS(PrefFlows!$C:$C,PrefFlows!$A:$A,$T$1,PrefFlows!$B:$B,$B115)+$U115*SUMIFS(PrefFlows!$C:$C,PrefFlows!$A:$A,$U$1,PrefFlows!$B:$B,$B115),2)</f>
        <v>34.26</v>
      </c>
      <c r="X115" s="3">
        <f>ROUND($S115*(1-SUMIFS(PrefFlows!$C:$C,PrefFlows!$A:$A,$S$1,PrefFlows!$B:$B,$B115))+$T115*(1-SUMIFS(PrefFlows!$C:$C,PrefFlows!$A:$A,$T$1,PrefFlows!$B:$B,$B115))+$U115*(1-SUMIFS(PrefFlows!$C:$C,PrefFlows!$A:$A,$U$1,PrefFlows!$B:$B,$B115)),2)</f>
        <v>32.6</v>
      </c>
      <c r="Y115" s="4">
        <f t="shared" si="38"/>
        <v>41.49</v>
      </c>
      <c r="Z115" s="3">
        <f t="shared" si="39"/>
        <v>25.37</v>
      </c>
      <c r="AA115" s="4">
        <f t="shared" si="40"/>
        <v>0.51239999999999997</v>
      </c>
      <c r="AB115" s="5">
        <f t="shared" si="41"/>
        <v>0.62060000000000004</v>
      </c>
      <c r="AC115" s="5">
        <f t="shared" si="42"/>
        <v>0.1082</v>
      </c>
      <c r="AD115" s="3">
        <v>-7.4972109027679999E-3</v>
      </c>
      <c r="AE115" s="4">
        <f>ROUND(S115*(1-(Exhaust!$B$2+AD115)),2)</f>
        <v>0.56000000000000005</v>
      </c>
      <c r="AF115" s="5">
        <f>ROUND(T115*(1-(Exhaust!$B$3+$AD115)),2)</f>
        <v>2.0699999999999998</v>
      </c>
      <c r="AG115" s="3">
        <f>ROUND(U115*(1-(Exhaust!$B$4+$AD115)),2)</f>
        <v>31.57</v>
      </c>
      <c r="AH115" s="4">
        <f>ROUND($AE115*(SUMIFS(PrefFlows!$C:$C,PrefFlows!$A:$A,$S$1,PrefFlows!$B:$B,$B115)+$AC115)+$AF115*(SUMIFS(PrefFlows!$C:$C,PrefFlows!$A:$A,$T$1,PrefFlows!$B:$B,$B115)+$AC115)+$AG115*(SUMIFS(PrefFlows!$C:$C,PrefFlows!$A:$A,$U$1,PrefFlows!$B:$B,$B115)+$AC115),2)</f>
        <v>21.11</v>
      </c>
      <c r="AI115" s="3">
        <f>ROUND($AE115*(1-(SUMIFS(PrefFlows!$C:$C,PrefFlows!$A:$A,$S$1,PrefFlows!$B:$B,$B115)+$AC115))+$AF115*(1-(SUMIFS(PrefFlows!$C:$C,PrefFlows!$A:$A,$T$1,PrefFlows!$B:$B,$B115)+$AC115))+$AG115*(1-(SUMIFS(PrefFlows!$C:$C,PrefFlows!$A:$A,$U$1,PrefFlows!$B:$B,$B115)+$AC115)),2)</f>
        <v>13.09</v>
      </c>
      <c r="AJ115" s="4">
        <f t="shared" si="43"/>
        <v>44.42</v>
      </c>
      <c r="AK115" s="3">
        <f t="shared" si="44"/>
        <v>22.92</v>
      </c>
      <c r="AL115" s="4">
        <f t="shared" si="45"/>
        <v>65.959999999999994</v>
      </c>
      <c r="AM115" s="3">
        <f t="shared" si="45"/>
        <v>34.04</v>
      </c>
      <c r="AN115" s="1">
        <f t="shared" si="50"/>
        <v>14.8</v>
      </c>
      <c r="AO115" s="1">
        <f t="shared" si="51"/>
        <v>16.100000000000001</v>
      </c>
      <c r="AP115" s="3">
        <f t="shared" si="52"/>
        <v>15.96</v>
      </c>
      <c r="AQ115" s="1" t="b">
        <f t="shared" si="46"/>
        <v>0</v>
      </c>
      <c r="AR115" s="1" t="b">
        <f t="shared" si="46"/>
        <v>0</v>
      </c>
      <c r="AS115" s="3" t="b">
        <f t="shared" si="47"/>
        <v>0</v>
      </c>
      <c r="AT115" s="1">
        <f t="shared" si="48"/>
        <v>1.3000000000000007</v>
      </c>
      <c r="AU115" s="1">
        <f t="shared" si="48"/>
        <v>1.1600000000000001</v>
      </c>
      <c r="AV115" s="3">
        <f t="shared" si="49"/>
        <v>0.14000000000000057</v>
      </c>
      <c r="AW115" s="1">
        <f>ROUND(IF($B115="NSW",N115*Meta!$B$6,N115),1)</f>
        <v>1657</v>
      </c>
      <c r="AX115" s="3">
        <f t="shared" si="53"/>
        <v>58309.8</v>
      </c>
    </row>
    <row r="116" spans="1:50" x14ac:dyDescent="0.55000000000000004">
      <c r="A116" s="2" t="s">
        <v>127</v>
      </c>
      <c r="B116" s="3" t="s">
        <v>12</v>
      </c>
      <c r="C116" s="4">
        <v>50.78</v>
      </c>
      <c r="D116" s="5">
        <v>25.56</v>
      </c>
      <c r="E116" s="5">
        <v>0</v>
      </c>
      <c r="F116" s="5">
        <v>2.2799999999999998</v>
      </c>
      <c r="G116" s="5">
        <v>0</v>
      </c>
      <c r="H116" s="5">
        <v>10.01</v>
      </c>
      <c r="I116" s="5">
        <v>11.37</v>
      </c>
      <c r="J116" s="3">
        <f t="shared" si="31"/>
        <v>13.65</v>
      </c>
      <c r="K116" s="4">
        <v>34.090000000000003</v>
      </c>
      <c r="L116" s="3">
        <v>65.91</v>
      </c>
      <c r="M116" s="4">
        <v>88475</v>
      </c>
      <c r="N116" s="5">
        <v>3930</v>
      </c>
      <c r="O116" s="3">
        <f t="shared" si="32"/>
        <v>84545</v>
      </c>
      <c r="P116" s="5">
        <f t="shared" si="33"/>
        <v>4.4419327493642274E-2</v>
      </c>
      <c r="Q116" s="4">
        <f>ROUND($C116+MIN($D116:$E116)*(1-SUMIFS(PrefFlows!$C:$C,PrefFlows!$A:$A,INDEX($D$1:$E$1,MATCH(MIN($D116:$E116),$D116:$E116,0)),PrefFlows!$B:$B,$B116)),2)</f>
        <v>50.78</v>
      </c>
      <c r="R116" s="5">
        <f>ROUND(MAX($D116:$E116)+MIN($D116:$E116)*SUMIFS(PrefFlows!$C:$C,PrefFlows!$A:$A,INDEX($D$1:$E$1,MATCH(MIN($D116:$E116),$D116:$E116,0)),PrefFlows!$B:$B,$B116),2)</f>
        <v>25.56</v>
      </c>
      <c r="S116" s="5">
        <f t="shared" si="34"/>
        <v>0</v>
      </c>
      <c r="T116" s="5">
        <f t="shared" si="35"/>
        <v>10.01</v>
      </c>
      <c r="U116" s="3">
        <f t="shared" si="36"/>
        <v>13.65</v>
      </c>
      <c r="V116" s="6">
        <f t="shared" si="37"/>
        <v>-25.22</v>
      </c>
      <c r="W116" s="4">
        <f>ROUND($S116*SUMIFS(PrefFlows!$C:$C,PrefFlows!$A:$A,$S$1,PrefFlows!$B:$B,$B116)+$T116*SUMIFS(PrefFlows!$C:$C,PrefFlows!$A:$A,$T$1,PrefFlows!$B:$B,$B116)+$U116*SUMIFS(PrefFlows!$C:$C,PrefFlows!$A:$A,$U$1,PrefFlows!$B:$B,$B116),2)</f>
        <v>9.14</v>
      </c>
      <c r="X116" s="3">
        <f>ROUND($S116*(1-SUMIFS(PrefFlows!$C:$C,PrefFlows!$A:$A,$S$1,PrefFlows!$B:$B,$B116))+$T116*(1-SUMIFS(PrefFlows!$C:$C,PrefFlows!$A:$A,$T$1,PrefFlows!$B:$B,$B116))+$U116*(1-SUMIFS(PrefFlows!$C:$C,PrefFlows!$A:$A,$U$1,PrefFlows!$B:$B,$B116)),2)</f>
        <v>14.52</v>
      </c>
      <c r="Y116" s="4">
        <f t="shared" si="38"/>
        <v>8.5299999999999994</v>
      </c>
      <c r="Z116" s="3">
        <f t="shared" si="39"/>
        <v>15.13</v>
      </c>
      <c r="AA116" s="4">
        <f t="shared" si="40"/>
        <v>0.38629999999999998</v>
      </c>
      <c r="AB116" s="5">
        <f t="shared" si="41"/>
        <v>0.36049999999999999</v>
      </c>
      <c r="AC116" s="5">
        <f t="shared" si="42"/>
        <v>-2.58E-2</v>
      </c>
      <c r="AD116" s="3">
        <v>3.1111289641825302E-2</v>
      </c>
      <c r="AE116" s="4">
        <f>ROUND(S116*(1-(Exhaust!$B$2+AD116)),2)</f>
        <v>0</v>
      </c>
      <c r="AF116" s="5">
        <f>ROUND(T116*(1-(Exhaust!$B$3+$AD116)),2)</f>
        <v>5.69</v>
      </c>
      <c r="AG116" s="3">
        <f>ROUND(U116*(1-(Exhaust!$B$4+$AD116)),2)</f>
        <v>6.4</v>
      </c>
      <c r="AH116" s="4">
        <f>ROUND($AE116*(SUMIFS(PrefFlows!$C:$C,PrefFlows!$A:$A,$S$1,PrefFlows!$B:$B,$B116)+$AC116)+$AF116*(SUMIFS(PrefFlows!$C:$C,PrefFlows!$A:$A,$T$1,PrefFlows!$B:$B,$B116)+$AC116)+$AG116*(SUMIFS(PrefFlows!$C:$C,PrefFlows!$A:$A,$U$1,PrefFlows!$B:$B,$B116)+$AC116),2)</f>
        <v>4.16</v>
      </c>
      <c r="AI116" s="3">
        <f>ROUND($AE116*(1-(SUMIFS(PrefFlows!$C:$C,PrefFlows!$A:$A,$S$1,PrefFlows!$B:$B,$B116)+$AC116))+$AF116*(1-(SUMIFS(PrefFlows!$C:$C,PrefFlows!$A:$A,$T$1,PrefFlows!$B:$B,$B116)+$AC116))+$AG116*(1-(SUMIFS(PrefFlows!$C:$C,PrefFlows!$A:$A,$U$1,PrefFlows!$B:$B,$B116)+$AC116)),2)</f>
        <v>7.93</v>
      </c>
      <c r="AJ116" s="4">
        <f t="shared" si="43"/>
        <v>29.72</v>
      </c>
      <c r="AK116" s="3">
        <f t="shared" si="44"/>
        <v>58.71</v>
      </c>
      <c r="AL116" s="4">
        <f t="shared" si="45"/>
        <v>33.61</v>
      </c>
      <c r="AM116" s="3">
        <f t="shared" si="45"/>
        <v>66.39</v>
      </c>
      <c r="AN116" s="1">
        <f t="shared" si="50"/>
        <v>-15.91</v>
      </c>
      <c r="AO116" s="1">
        <f t="shared" si="51"/>
        <v>-16.16</v>
      </c>
      <c r="AP116" s="3">
        <f t="shared" si="52"/>
        <v>-16.39</v>
      </c>
      <c r="AQ116" s="1" t="b">
        <f t="shared" si="46"/>
        <v>0</v>
      </c>
      <c r="AR116" s="1" t="b">
        <f t="shared" si="46"/>
        <v>0</v>
      </c>
      <c r="AS116" s="3" t="b">
        <f t="shared" si="47"/>
        <v>0</v>
      </c>
      <c r="AT116" s="1">
        <f t="shared" si="48"/>
        <v>-0.25</v>
      </c>
      <c r="AU116" s="1">
        <f t="shared" si="48"/>
        <v>-0.48000000000000043</v>
      </c>
      <c r="AV116" s="3">
        <f t="shared" si="49"/>
        <v>0.23000000000000043</v>
      </c>
      <c r="AW116" s="1">
        <f>ROUND(IF($B116="NSW",N116*Meta!$B$6,N116),1)</f>
        <v>2582</v>
      </c>
      <c r="AX116" s="3">
        <f t="shared" si="53"/>
        <v>76761.5</v>
      </c>
    </row>
    <row r="117" spans="1:50" x14ac:dyDescent="0.55000000000000004">
      <c r="A117" s="2" t="s">
        <v>128</v>
      </c>
      <c r="B117" s="3" t="s">
        <v>12</v>
      </c>
      <c r="C117" s="4">
        <v>35.619999999999997</v>
      </c>
      <c r="D117" s="5">
        <v>51.81</v>
      </c>
      <c r="E117" s="5">
        <v>0</v>
      </c>
      <c r="F117" s="5">
        <v>0.41</v>
      </c>
      <c r="G117" s="5">
        <v>0</v>
      </c>
      <c r="H117" s="5">
        <v>9.2100000000000009</v>
      </c>
      <c r="I117" s="5">
        <v>2.95</v>
      </c>
      <c r="J117" s="3">
        <f t="shared" si="31"/>
        <v>3.36</v>
      </c>
      <c r="K117" s="4">
        <v>55.38</v>
      </c>
      <c r="L117" s="3">
        <v>44.62</v>
      </c>
      <c r="M117" s="4">
        <v>88324</v>
      </c>
      <c r="N117" s="5">
        <v>3061</v>
      </c>
      <c r="O117" s="3">
        <f t="shared" si="32"/>
        <v>85263</v>
      </c>
      <c r="P117" s="5">
        <f t="shared" si="33"/>
        <v>3.4656492006702594E-2</v>
      </c>
      <c r="Q117" s="4">
        <f>ROUND($C117+MIN($D117:$E117)*(1-SUMIFS(PrefFlows!$C:$C,PrefFlows!$A:$A,INDEX($D$1:$E$1,MATCH(MIN($D117:$E117),$D117:$E117,0)),PrefFlows!$B:$B,$B117)),2)</f>
        <v>35.619999999999997</v>
      </c>
      <c r="R117" s="5">
        <f>ROUND(MAX($D117:$E117)+MIN($D117:$E117)*SUMIFS(PrefFlows!$C:$C,PrefFlows!$A:$A,INDEX($D$1:$E$1,MATCH(MIN($D117:$E117),$D117:$E117,0)),PrefFlows!$B:$B,$B117),2)</f>
        <v>51.81</v>
      </c>
      <c r="S117" s="5">
        <f t="shared" si="34"/>
        <v>0</v>
      </c>
      <c r="T117" s="5">
        <f t="shared" si="35"/>
        <v>9.2100000000000009</v>
      </c>
      <c r="U117" s="3">
        <f t="shared" si="36"/>
        <v>3.36</v>
      </c>
      <c r="V117" s="6">
        <f t="shared" si="37"/>
        <v>16.190000000000001</v>
      </c>
      <c r="W117" s="4">
        <f>ROUND($S117*SUMIFS(PrefFlows!$C:$C,PrefFlows!$A:$A,$S$1,PrefFlows!$B:$B,$B117)+$T117*SUMIFS(PrefFlows!$C:$C,PrefFlows!$A:$A,$T$1,PrefFlows!$B:$B,$B117)+$U117*SUMIFS(PrefFlows!$C:$C,PrefFlows!$A:$A,$U$1,PrefFlows!$B:$B,$B117),2)</f>
        <v>3.55</v>
      </c>
      <c r="X117" s="3">
        <f>ROUND($S117*(1-SUMIFS(PrefFlows!$C:$C,PrefFlows!$A:$A,$S$1,PrefFlows!$B:$B,$B117))+$T117*(1-SUMIFS(PrefFlows!$C:$C,PrefFlows!$A:$A,$T$1,PrefFlows!$B:$B,$B117))+$U117*(1-SUMIFS(PrefFlows!$C:$C,PrefFlows!$A:$A,$U$1,PrefFlows!$B:$B,$B117)),2)</f>
        <v>9.02</v>
      </c>
      <c r="Y117" s="4">
        <f t="shared" si="38"/>
        <v>3.57</v>
      </c>
      <c r="Z117" s="3">
        <f t="shared" si="39"/>
        <v>9</v>
      </c>
      <c r="AA117" s="4">
        <f t="shared" si="40"/>
        <v>0.28239999999999998</v>
      </c>
      <c r="AB117" s="5">
        <f t="shared" si="41"/>
        <v>0.28399999999999997</v>
      </c>
      <c r="AC117" s="5">
        <f t="shared" si="42"/>
        <v>1.6000000000000001E-3</v>
      </c>
      <c r="AD117" s="3">
        <v>-5.5941929183820297E-3</v>
      </c>
      <c r="AE117" s="4">
        <f>ROUND(S117*(1-(Exhaust!$B$2+AD117)),2)</f>
        <v>0</v>
      </c>
      <c r="AF117" s="5">
        <f>ROUND(T117*(1-(Exhaust!$B$3+$AD117)),2)</f>
        <v>5.58</v>
      </c>
      <c r="AG117" s="3">
        <f>ROUND(U117*(1-(Exhaust!$B$4+$AD117)),2)</f>
        <v>1.7</v>
      </c>
      <c r="AH117" s="4">
        <f>ROUND($AE117*(SUMIFS(PrefFlows!$C:$C,PrefFlows!$A:$A,$S$1,PrefFlows!$B:$B,$B117)+$AC117)+$AF117*(SUMIFS(PrefFlows!$C:$C,PrefFlows!$A:$A,$T$1,PrefFlows!$B:$B,$B117)+$AC117)+$AG117*(SUMIFS(PrefFlows!$C:$C,PrefFlows!$A:$A,$U$1,PrefFlows!$B:$B,$B117)+$AC117),2)</f>
        <v>1.98</v>
      </c>
      <c r="AI117" s="3">
        <f>ROUND($AE117*(1-(SUMIFS(PrefFlows!$C:$C,PrefFlows!$A:$A,$S$1,PrefFlows!$B:$B,$B117)+$AC117))+$AF117*(1-(SUMIFS(PrefFlows!$C:$C,PrefFlows!$A:$A,$T$1,PrefFlows!$B:$B,$B117)+$AC117))+$AG117*(1-(SUMIFS(PrefFlows!$C:$C,PrefFlows!$A:$A,$U$1,PrefFlows!$B:$B,$B117)+$AC117)),2)</f>
        <v>5.3</v>
      </c>
      <c r="AJ117" s="4">
        <f t="shared" si="43"/>
        <v>53.79</v>
      </c>
      <c r="AK117" s="3">
        <f t="shared" si="44"/>
        <v>40.92</v>
      </c>
      <c r="AL117" s="4">
        <f t="shared" si="45"/>
        <v>56.79</v>
      </c>
      <c r="AM117" s="3">
        <f t="shared" si="45"/>
        <v>43.21</v>
      </c>
      <c r="AN117" s="1">
        <f t="shared" si="50"/>
        <v>5.38</v>
      </c>
      <c r="AO117" s="1">
        <f t="shared" si="51"/>
        <v>7.11</v>
      </c>
      <c r="AP117" s="3">
        <f t="shared" si="52"/>
        <v>6.79</v>
      </c>
      <c r="AQ117" s="1" t="b">
        <f t="shared" si="46"/>
        <v>0</v>
      </c>
      <c r="AR117" s="1" t="b">
        <f t="shared" si="46"/>
        <v>0</v>
      </c>
      <c r="AS117" s="3" t="b">
        <f t="shared" si="47"/>
        <v>0</v>
      </c>
      <c r="AT117" s="1">
        <f t="shared" si="48"/>
        <v>1.7300000000000004</v>
      </c>
      <c r="AU117" s="1">
        <f t="shared" si="48"/>
        <v>1.4100000000000001</v>
      </c>
      <c r="AV117" s="3">
        <f t="shared" si="49"/>
        <v>0.32000000000000028</v>
      </c>
      <c r="AW117" s="1">
        <f>ROUND(IF($B117="NSW",N117*Meta!$B$6,N117),1)</f>
        <v>2011.1</v>
      </c>
      <c r="AX117" s="3">
        <f t="shared" si="53"/>
        <v>82419.600000000006</v>
      </c>
    </row>
    <row r="118" spans="1:50" x14ac:dyDescent="0.55000000000000004">
      <c r="A118" s="2" t="s">
        <v>129</v>
      </c>
      <c r="B118" s="3" t="s">
        <v>30</v>
      </c>
      <c r="C118" s="4">
        <v>20.43</v>
      </c>
      <c r="D118" s="5">
        <v>45.85</v>
      </c>
      <c r="E118" s="5">
        <v>17.690000000000001</v>
      </c>
      <c r="F118" s="5">
        <v>1.3</v>
      </c>
      <c r="G118" s="5">
        <v>1.6</v>
      </c>
      <c r="H118" s="5">
        <v>6.82</v>
      </c>
      <c r="I118" s="5">
        <v>7.91</v>
      </c>
      <c r="J118" s="3">
        <f t="shared" si="31"/>
        <v>7.61</v>
      </c>
      <c r="K118" s="4">
        <v>66.55</v>
      </c>
      <c r="L118" s="3">
        <v>33.450000000000003</v>
      </c>
      <c r="M118" s="4">
        <v>79769</v>
      </c>
      <c r="N118" s="5">
        <v>3702</v>
      </c>
      <c r="O118" s="3">
        <f t="shared" si="32"/>
        <v>76067</v>
      </c>
      <c r="P118" s="5">
        <f t="shared" si="33"/>
        <v>4.6409006004838972E-2</v>
      </c>
      <c r="Q118" s="4">
        <f>ROUND($C118+MIN($D118:$E118)*(1-SUMIFS(PrefFlows!$C:$C,PrefFlows!$A:$A,INDEX($D$1:$E$1,MATCH(MIN($D118:$E118),$D118:$E118,0)),PrefFlows!$B:$B,$B118)),2)</f>
        <v>23.8</v>
      </c>
      <c r="R118" s="5">
        <f>ROUND(MAX($D118:$E118)+MIN($D118:$E118)*SUMIFS(PrefFlows!$C:$C,PrefFlows!$A:$A,INDEX($D$1:$E$1,MATCH(MIN($D118:$E118),$D118:$E118,0)),PrefFlows!$B:$B,$B118),2)</f>
        <v>60.17</v>
      </c>
      <c r="S118" s="5">
        <f t="shared" si="34"/>
        <v>1.6</v>
      </c>
      <c r="T118" s="5">
        <f t="shared" si="35"/>
        <v>6.82</v>
      </c>
      <c r="U118" s="3">
        <f t="shared" si="36"/>
        <v>7.61</v>
      </c>
      <c r="V118" s="6">
        <f t="shared" si="37"/>
        <v>36.369999999999997</v>
      </c>
      <c r="W118" s="4">
        <f>ROUND($S118*SUMIFS(PrefFlows!$C:$C,PrefFlows!$A:$A,$S$1,PrefFlows!$B:$B,$B118)+$T118*SUMIFS(PrefFlows!$C:$C,PrefFlows!$A:$A,$T$1,PrefFlows!$B:$B,$B118)+$U118*SUMIFS(PrefFlows!$C:$C,PrefFlows!$A:$A,$U$1,PrefFlows!$B:$B,$B118),2)</f>
        <v>6.4</v>
      </c>
      <c r="X118" s="3">
        <f>ROUND($S118*(1-SUMIFS(PrefFlows!$C:$C,PrefFlows!$A:$A,$S$1,PrefFlows!$B:$B,$B118))+$T118*(1-SUMIFS(PrefFlows!$C:$C,PrefFlows!$A:$A,$T$1,PrefFlows!$B:$B,$B118))+$U118*(1-SUMIFS(PrefFlows!$C:$C,PrefFlows!$A:$A,$U$1,PrefFlows!$B:$B,$B118)),2)</f>
        <v>9.6300000000000008</v>
      </c>
      <c r="Y118" s="4">
        <f t="shared" si="38"/>
        <v>6.38</v>
      </c>
      <c r="Z118" s="3">
        <f t="shared" si="39"/>
        <v>9.65</v>
      </c>
      <c r="AA118" s="4">
        <f t="shared" si="40"/>
        <v>0.39929999999999999</v>
      </c>
      <c r="AB118" s="5">
        <f t="shared" si="41"/>
        <v>0.39800000000000002</v>
      </c>
      <c r="AC118" s="5">
        <f t="shared" si="42"/>
        <v>-1.2999999999999999E-3</v>
      </c>
      <c r="AD118" s="3">
        <v>4.0197029695944402E-2</v>
      </c>
      <c r="AE118" s="4">
        <f>ROUND(S118*(1-(Exhaust!$B$2+AD118)),2)</f>
        <v>0.64</v>
      </c>
      <c r="AF118" s="5">
        <f>ROUND(T118*(1-(Exhaust!$B$3+$AD118)),2)</f>
        <v>3.82</v>
      </c>
      <c r="AG118" s="3">
        <f>ROUND(U118*(1-(Exhaust!$B$4+$AD118)),2)</f>
        <v>3.5</v>
      </c>
      <c r="AH118" s="4">
        <f>ROUND($AE118*(SUMIFS(PrefFlows!$C:$C,PrefFlows!$A:$A,$S$1,PrefFlows!$B:$B,$B118)+$AC118)+$AF118*(SUMIFS(PrefFlows!$C:$C,PrefFlows!$A:$A,$T$1,PrefFlows!$B:$B,$B118)+$AC118)+$AG118*(SUMIFS(PrefFlows!$C:$C,PrefFlows!$A:$A,$U$1,PrefFlows!$B:$B,$B118)+$AC118),2)</f>
        <v>3.05</v>
      </c>
      <c r="AI118" s="3">
        <f>ROUND($AE118*(1-(SUMIFS(PrefFlows!$C:$C,PrefFlows!$A:$A,$S$1,PrefFlows!$B:$B,$B118)+$AC118))+$AF118*(1-(SUMIFS(PrefFlows!$C:$C,PrefFlows!$A:$A,$T$1,PrefFlows!$B:$B,$B118)+$AC118))+$AG118*(1-(SUMIFS(PrefFlows!$C:$C,PrefFlows!$A:$A,$U$1,PrefFlows!$B:$B,$B118)+$AC118)),2)</f>
        <v>4.91</v>
      </c>
      <c r="AJ118" s="4">
        <f t="shared" si="43"/>
        <v>63.22</v>
      </c>
      <c r="AK118" s="3">
        <f t="shared" si="44"/>
        <v>28.71</v>
      </c>
      <c r="AL118" s="4">
        <f t="shared" si="45"/>
        <v>68.77</v>
      </c>
      <c r="AM118" s="3">
        <f t="shared" si="45"/>
        <v>31.23</v>
      </c>
      <c r="AN118" s="1">
        <f t="shared" si="50"/>
        <v>16.55</v>
      </c>
      <c r="AO118" s="1">
        <f t="shared" si="51"/>
        <v>18.78</v>
      </c>
      <c r="AP118" s="3">
        <f t="shared" si="52"/>
        <v>18.77</v>
      </c>
      <c r="AQ118" s="1" t="b">
        <f t="shared" si="46"/>
        <v>0</v>
      </c>
      <c r="AR118" s="1" t="b">
        <f t="shared" si="46"/>
        <v>0</v>
      </c>
      <c r="AS118" s="3" t="b">
        <f t="shared" si="47"/>
        <v>0</v>
      </c>
      <c r="AT118" s="1">
        <f t="shared" si="48"/>
        <v>2.2300000000000004</v>
      </c>
      <c r="AU118" s="1">
        <f t="shared" si="48"/>
        <v>2.2199999999999989</v>
      </c>
      <c r="AV118" s="3">
        <f t="shared" si="49"/>
        <v>1.0000000000001563E-2</v>
      </c>
      <c r="AW118" s="1">
        <f>ROUND(IF($B118="NSW",N118*Meta!$B$6,N118),1)</f>
        <v>3702</v>
      </c>
      <c r="AX118" s="3">
        <f t="shared" si="53"/>
        <v>71130.2</v>
      </c>
    </row>
    <row r="119" spans="1:50" x14ac:dyDescent="0.55000000000000004">
      <c r="A119" s="2" t="s">
        <v>130</v>
      </c>
      <c r="B119" s="3" t="s">
        <v>22</v>
      </c>
      <c r="C119" s="4">
        <v>58.56</v>
      </c>
      <c r="D119" s="5">
        <v>32.68</v>
      </c>
      <c r="E119" s="5">
        <v>0</v>
      </c>
      <c r="F119" s="5">
        <v>2.09</v>
      </c>
      <c r="G119" s="5">
        <v>0</v>
      </c>
      <c r="H119" s="5">
        <v>5.13</v>
      </c>
      <c r="I119" s="5">
        <v>1.54</v>
      </c>
      <c r="J119" s="3">
        <f t="shared" si="31"/>
        <v>3.63</v>
      </c>
      <c r="K119" s="4">
        <v>35.869999999999997</v>
      </c>
      <c r="L119" s="3">
        <v>64.13</v>
      </c>
      <c r="M119" s="4">
        <v>84010</v>
      </c>
      <c r="N119" s="5">
        <v>3535</v>
      </c>
      <c r="O119" s="3">
        <f t="shared" si="32"/>
        <v>80475</v>
      </c>
      <c r="P119" s="5">
        <f t="shared" si="33"/>
        <v>4.2078324009046542E-2</v>
      </c>
      <c r="Q119" s="4">
        <f>ROUND($C119+MIN($D119:$E119)*(1-SUMIFS(PrefFlows!$C:$C,PrefFlows!$A:$A,INDEX($D$1:$E$1,MATCH(MIN($D119:$E119),$D119:$E119,0)),PrefFlows!$B:$B,$B119)),2)</f>
        <v>58.56</v>
      </c>
      <c r="R119" s="5">
        <f>ROUND(MAX($D119:$E119)+MIN($D119:$E119)*SUMIFS(PrefFlows!$C:$C,PrefFlows!$A:$A,INDEX($D$1:$E$1,MATCH(MIN($D119:$E119),$D119:$E119,0)),PrefFlows!$B:$B,$B119),2)</f>
        <v>32.68</v>
      </c>
      <c r="S119" s="5">
        <f t="shared" si="34"/>
        <v>0</v>
      </c>
      <c r="T119" s="5">
        <f t="shared" si="35"/>
        <v>5.13</v>
      </c>
      <c r="U119" s="3">
        <f t="shared" si="36"/>
        <v>3.63</v>
      </c>
      <c r="V119" s="6">
        <f t="shared" si="37"/>
        <v>-25.88</v>
      </c>
      <c r="W119" s="4">
        <f>ROUND($S119*SUMIFS(PrefFlows!$C:$C,PrefFlows!$A:$A,$S$1,PrefFlows!$B:$B,$B119)+$T119*SUMIFS(PrefFlows!$C:$C,PrefFlows!$A:$A,$T$1,PrefFlows!$B:$B,$B119)+$U119*SUMIFS(PrefFlows!$C:$C,PrefFlows!$A:$A,$U$1,PrefFlows!$B:$B,$B119),2)</f>
        <v>3.11</v>
      </c>
      <c r="X119" s="3">
        <f>ROUND($S119*(1-SUMIFS(PrefFlows!$C:$C,PrefFlows!$A:$A,$S$1,PrefFlows!$B:$B,$B119))+$T119*(1-SUMIFS(PrefFlows!$C:$C,PrefFlows!$A:$A,$T$1,PrefFlows!$B:$B,$B119))+$U119*(1-SUMIFS(PrefFlows!$C:$C,PrefFlows!$A:$A,$U$1,PrefFlows!$B:$B,$B119)),2)</f>
        <v>5.65</v>
      </c>
      <c r="Y119" s="4">
        <f t="shared" si="38"/>
        <v>3.19</v>
      </c>
      <c r="Z119" s="3">
        <f t="shared" si="39"/>
        <v>5.57</v>
      </c>
      <c r="AA119" s="4">
        <f t="shared" si="40"/>
        <v>0.35499999999999998</v>
      </c>
      <c r="AB119" s="5">
        <f t="shared" si="41"/>
        <v>0.36420000000000002</v>
      </c>
      <c r="AC119" s="5">
        <f t="shared" si="42"/>
        <v>9.1999999999999998E-3</v>
      </c>
      <c r="AD119" s="3">
        <v>2.22343708505814E-2</v>
      </c>
      <c r="AE119" s="4">
        <f>ROUND(S119*(1-(Exhaust!$B$2+AD119)),2)</f>
        <v>0</v>
      </c>
      <c r="AF119" s="5">
        <f>ROUND(T119*(1-(Exhaust!$B$3+$AD119)),2)</f>
        <v>2.96</v>
      </c>
      <c r="AG119" s="3">
        <f>ROUND(U119*(1-(Exhaust!$B$4+$AD119)),2)</f>
        <v>1.73</v>
      </c>
      <c r="AH119" s="4">
        <f>ROUND($AE119*(SUMIFS(PrefFlows!$C:$C,PrefFlows!$A:$A,$S$1,PrefFlows!$B:$B,$B119)+$AC119)+$AF119*(SUMIFS(PrefFlows!$C:$C,PrefFlows!$A:$A,$T$1,PrefFlows!$B:$B,$B119)+$AC119)+$AG119*(SUMIFS(PrefFlows!$C:$C,PrefFlows!$A:$A,$U$1,PrefFlows!$B:$B,$B119)+$AC119),2)</f>
        <v>1.65</v>
      </c>
      <c r="AI119" s="3">
        <f>ROUND($AE119*(1-(SUMIFS(PrefFlows!$C:$C,PrefFlows!$A:$A,$S$1,PrefFlows!$B:$B,$B119)+$AC119))+$AF119*(1-(SUMIFS(PrefFlows!$C:$C,PrefFlows!$A:$A,$T$1,PrefFlows!$B:$B,$B119)+$AC119))+$AG119*(1-(SUMIFS(PrefFlows!$C:$C,PrefFlows!$A:$A,$U$1,PrefFlows!$B:$B,$B119)+$AC119)),2)</f>
        <v>3.04</v>
      </c>
      <c r="AJ119" s="4">
        <f t="shared" si="43"/>
        <v>34.33</v>
      </c>
      <c r="AK119" s="3">
        <f t="shared" si="44"/>
        <v>61.6</v>
      </c>
      <c r="AL119" s="4">
        <f t="shared" si="45"/>
        <v>35.79</v>
      </c>
      <c r="AM119" s="3">
        <f t="shared" si="45"/>
        <v>64.209999999999994</v>
      </c>
      <c r="AN119" s="1">
        <f t="shared" si="50"/>
        <v>-14.13</v>
      </c>
      <c r="AO119" s="1">
        <f t="shared" si="51"/>
        <v>-14.15</v>
      </c>
      <c r="AP119" s="3">
        <f t="shared" si="52"/>
        <v>-14.21</v>
      </c>
      <c r="AQ119" s="1" t="b">
        <f t="shared" si="46"/>
        <v>0</v>
      </c>
      <c r="AR119" s="1" t="b">
        <f t="shared" si="46"/>
        <v>0</v>
      </c>
      <c r="AS119" s="3" t="b">
        <f t="shared" si="47"/>
        <v>0</v>
      </c>
      <c r="AT119" s="1">
        <f t="shared" si="48"/>
        <v>-1.9999999999999574E-2</v>
      </c>
      <c r="AU119" s="1">
        <f t="shared" si="48"/>
        <v>-8.0000000000000071E-2</v>
      </c>
      <c r="AV119" s="3">
        <f t="shared" si="49"/>
        <v>6.0000000000000497E-2</v>
      </c>
      <c r="AW119" s="1">
        <f>ROUND(IF($B119="NSW",N119*Meta!$B$6,N119),1)</f>
        <v>3535</v>
      </c>
      <c r="AX119" s="3">
        <f t="shared" si="53"/>
        <v>78397.2</v>
      </c>
    </row>
    <row r="120" spans="1:50" x14ac:dyDescent="0.55000000000000004">
      <c r="A120" s="2" t="s">
        <v>131</v>
      </c>
      <c r="B120" s="3" t="s">
        <v>12</v>
      </c>
      <c r="C120" s="4">
        <v>41.67</v>
      </c>
      <c r="D120" s="5">
        <v>0</v>
      </c>
      <c r="E120" s="5">
        <v>43.05</v>
      </c>
      <c r="F120" s="5">
        <v>0.92</v>
      </c>
      <c r="G120" s="5">
        <v>0</v>
      </c>
      <c r="H120" s="5">
        <v>8.1</v>
      </c>
      <c r="I120" s="5">
        <v>6.26</v>
      </c>
      <c r="J120" s="3">
        <f t="shared" si="31"/>
        <v>7.18</v>
      </c>
      <c r="K120" s="4">
        <v>47.64</v>
      </c>
      <c r="L120" s="3">
        <v>52.36</v>
      </c>
      <c r="M120" s="4">
        <v>89352</v>
      </c>
      <c r="N120" s="5">
        <v>3842</v>
      </c>
      <c r="O120" s="3">
        <f t="shared" si="32"/>
        <v>85510</v>
      </c>
      <c r="P120" s="5">
        <f t="shared" si="33"/>
        <v>4.2998477929984777E-2</v>
      </c>
      <c r="Q120" s="4">
        <f>ROUND($C120+MIN($D120:$E120)*(1-SUMIFS(PrefFlows!$C:$C,PrefFlows!$A:$A,INDEX($D$1:$E$1,MATCH(MIN($D120:$E120),$D120:$E120,0)),PrefFlows!$B:$B,$B120)),2)</f>
        <v>41.67</v>
      </c>
      <c r="R120" s="5">
        <f>ROUND(MAX($D120:$E120)+MIN($D120:$E120)*SUMIFS(PrefFlows!$C:$C,PrefFlows!$A:$A,INDEX($D$1:$E$1,MATCH(MIN($D120:$E120),$D120:$E120,0)),PrefFlows!$B:$B,$B120),2)</f>
        <v>43.05</v>
      </c>
      <c r="S120" s="5">
        <f t="shared" si="34"/>
        <v>0</v>
      </c>
      <c r="T120" s="5">
        <f t="shared" si="35"/>
        <v>8.1</v>
      </c>
      <c r="U120" s="3">
        <f t="shared" si="36"/>
        <v>7.18</v>
      </c>
      <c r="V120" s="6">
        <f t="shared" si="37"/>
        <v>1.38</v>
      </c>
      <c r="W120" s="4">
        <f>ROUND($S120*SUMIFS(PrefFlows!$C:$C,PrefFlows!$A:$A,$S$1,PrefFlows!$B:$B,$B120)+$T120*SUMIFS(PrefFlows!$C:$C,PrefFlows!$A:$A,$T$1,PrefFlows!$B:$B,$B120)+$U120*SUMIFS(PrefFlows!$C:$C,PrefFlows!$A:$A,$U$1,PrefFlows!$B:$B,$B120),2)</f>
        <v>5.35</v>
      </c>
      <c r="X120" s="3">
        <f>ROUND($S120*(1-SUMIFS(PrefFlows!$C:$C,PrefFlows!$A:$A,$S$1,PrefFlows!$B:$B,$B120))+$T120*(1-SUMIFS(PrefFlows!$C:$C,PrefFlows!$A:$A,$T$1,PrefFlows!$B:$B,$B120))+$U120*(1-SUMIFS(PrefFlows!$C:$C,PrefFlows!$A:$A,$U$1,PrefFlows!$B:$B,$B120)),2)</f>
        <v>9.93</v>
      </c>
      <c r="Y120" s="4">
        <f t="shared" si="38"/>
        <v>4.59</v>
      </c>
      <c r="Z120" s="3">
        <f t="shared" si="39"/>
        <v>10.69</v>
      </c>
      <c r="AA120" s="4">
        <f t="shared" si="40"/>
        <v>0.35010000000000002</v>
      </c>
      <c r="AB120" s="5">
        <f t="shared" si="41"/>
        <v>0.3004</v>
      </c>
      <c r="AC120" s="5">
        <f t="shared" si="42"/>
        <v>-4.9700000000000001E-2</v>
      </c>
      <c r="AD120" s="3">
        <v>2.0787767774769601E-2</v>
      </c>
      <c r="AE120" s="4">
        <f>ROUND(S120*(1-(Exhaust!$B$2+AD120)),2)</f>
        <v>0</v>
      </c>
      <c r="AF120" s="5">
        <f>ROUND(T120*(1-(Exhaust!$B$3+$AD120)),2)</f>
        <v>4.6900000000000004</v>
      </c>
      <c r="AG120" s="3">
        <f>ROUND(U120*(1-(Exhaust!$B$4+$AD120)),2)</f>
        <v>3.44</v>
      </c>
      <c r="AH120" s="4">
        <f>ROUND($AE120*(SUMIFS(PrefFlows!$C:$C,PrefFlows!$A:$A,$S$1,PrefFlows!$B:$B,$B120)+$AC120)+$AF120*(SUMIFS(PrefFlows!$C:$C,PrefFlows!$A:$A,$T$1,PrefFlows!$B:$B,$B120)+$AC120)+$AG120*(SUMIFS(PrefFlows!$C:$C,PrefFlows!$A:$A,$U$1,PrefFlows!$B:$B,$B120)+$AC120),2)</f>
        <v>2.3199999999999998</v>
      </c>
      <c r="AI120" s="3">
        <f>ROUND($AE120*(1-(SUMIFS(PrefFlows!$C:$C,PrefFlows!$A:$A,$S$1,PrefFlows!$B:$B,$B120)+$AC120))+$AF120*(1-(SUMIFS(PrefFlows!$C:$C,PrefFlows!$A:$A,$T$1,PrefFlows!$B:$B,$B120)+$AC120))+$AG120*(1-(SUMIFS(PrefFlows!$C:$C,PrefFlows!$A:$A,$U$1,PrefFlows!$B:$B,$B120)+$AC120)),2)</f>
        <v>5.81</v>
      </c>
      <c r="AJ120" s="4">
        <f t="shared" si="43"/>
        <v>45.37</v>
      </c>
      <c r="AK120" s="3">
        <f t="shared" si="44"/>
        <v>47.48</v>
      </c>
      <c r="AL120" s="4">
        <f t="shared" si="45"/>
        <v>48.86</v>
      </c>
      <c r="AM120" s="3">
        <f t="shared" si="45"/>
        <v>51.14</v>
      </c>
      <c r="AN120" s="1">
        <f t="shared" si="50"/>
        <v>-2.36</v>
      </c>
      <c r="AO120" s="1">
        <f t="shared" si="51"/>
        <v>-0.97</v>
      </c>
      <c r="AP120" s="3">
        <f t="shared" si="52"/>
        <v>-1.1399999999999999</v>
      </c>
      <c r="AQ120" s="1" t="b">
        <f t="shared" si="46"/>
        <v>0</v>
      </c>
      <c r="AR120" s="1" t="b">
        <f t="shared" si="46"/>
        <v>0</v>
      </c>
      <c r="AS120" s="3" t="b">
        <f t="shared" si="47"/>
        <v>0</v>
      </c>
      <c r="AT120" s="1">
        <f t="shared" si="48"/>
        <v>1.39</v>
      </c>
      <c r="AU120" s="1">
        <f t="shared" si="48"/>
        <v>1.22</v>
      </c>
      <c r="AV120" s="3">
        <f t="shared" si="49"/>
        <v>0.16999999999999993</v>
      </c>
      <c r="AW120" s="1">
        <f>ROUND(IF($B120="NSW",N120*Meta!$B$6,N120),1)</f>
        <v>2524.1999999999998</v>
      </c>
      <c r="AX120" s="3">
        <f t="shared" si="53"/>
        <v>81447.199999999997</v>
      </c>
    </row>
    <row r="121" spans="1:50" x14ac:dyDescent="0.55000000000000004">
      <c r="A121" s="2" t="s">
        <v>132</v>
      </c>
      <c r="B121" s="3" t="s">
        <v>12</v>
      </c>
      <c r="C121" s="4">
        <v>25.37</v>
      </c>
      <c r="D121" s="5">
        <v>0</v>
      </c>
      <c r="E121" s="5">
        <v>46.77</v>
      </c>
      <c r="F121" s="5">
        <v>0</v>
      </c>
      <c r="G121" s="5">
        <v>0</v>
      </c>
      <c r="H121" s="5">
        <v>3.03</v>
      </c>
      <c r="I121" s="5">
        <v>24.83</v>
      </c>
      <c r="J121" s="3">
        <f t="shared" si="31"/>
        <v>24.83</v>
      </c>
      <c r="K121" s="4">
        <v>63.04</v>
      </c>
      <c r="L121" s="3">
        <v>36.96</v>
      </c>
      <c r="M121" s="4">
        <v>86086</v>
      </c>
      <c r="N121" s="5">
        <v>3617</v>
      </c>
      <c r="O121" s="3">
        <f t="shared" si="32"/>
        <v>82469</v>
      </c>
      <c r="P121" s="5">
        <f t="shared" si="33"/>
        <v>4.2016123411472248E-2</v>
      </c>
      <c r="Q121" s="4">
        <f>ROUND($C121+MIN($D121:$E121)*(1-SUMIFS(PrefFlows!$C:$C,PrefFlows!$A:$A,INDEX($D$1:$E$1,MATCH(MIN($D121:$E121),$D121:$E121,0)),PrefFlows!$B:$B,$B121)),2)</f>
        <v>25.37</v>
      </c>
      <c r="R121" s="5">
        <f>ROUND(MAX($D121:$E121)+MIN($D121:$E121)*SUMIFS(PrefFlows!$C:$C,PrefFlows!$A:$A,INDEX($D$1:$E$1,MATCH(MIN($D121:$E121),$D121:$E121,0)),PrefFlows!$B:$B,$B121),2)</f>
        <v>46.77</v>
      </c>
      <c r="S121" s="5">
        <f t="shared" si="34"/>
        <v>0</v>
      </c>
      <c r="T121" s="5">
        <f t="shared" si="35"/>
        <v>3.03</v>
      </c>
      <c r="U121" s="3">
        <f t="shared" si="36"/>
        <v>24.83</v>
      </c>
      <c r="V121" s="6">
        <f t="shared" si="37"/>
        <v>21.4</v>
      </c>
      <c r="W121" s="4">
        <f>ROUND($S121*SUMIFS(PrefFlows!$C:$C,PrefFlows!$A:$A,$S$1,PrefFlows!$B:$B,$B121)+$T121*SUMIFS(PrefFlows!$C:$C,PrefFlows!$A:$A,$T$1,PrefFlows!$B:$B,$B121)+$U121*SUMIFS(PrefFlows!$C:$C,PrefFlows!$A:$A,$U$1,PrefFlows!$B:$B,$B121),2)</f>
        <v>13.71</v>
      </c>
      <c r="X121" s="3">
        <f>ROUND($S121*(1-SUMIFS(PrefFlows!$C:$C,PrefFlows!$A:$A,$S$1,PrefFlows!$B:$B,$B121))+$T121*(1-SUMIFS(PrefFlows!$C:$C,PrefFlows!$A:$A,$T$1,PrefFlows!$B:$B,$B121))+$U121*(1-SUMIFS(PrefFlows!$C:$C,PrefFlows!$A:$A,$U$1,PrefFlows!$B:$B,$B121)),2)</f>
        <v>14.15</v>
      </c>
      <c r="Y121" s="4">
        <f t="shared" si="38"/>
        <v>16.27</v>
      </c>
      <c r="Z121" s="3">
        <f t="shared" si="39"/>
        <v>11.59</v>
      </c>
      <c r="AA121" s="4">
        <f t="shared" si="40"/>
        <v>0.49209999999999998</v>
      </c>
      <c r="AB121" s="5">
        <f t="shared" si="41"/>
        <v>0.58399999999999996</v>
      </c>
      <c r="AC121" s="5">
        <f t="shared" si="42"/>
        <v>9.1899999999999996E-2</v>
      </c>
      <c r="AD121" s="3">
        <v>4.73852762219273E-2</v>
      </c>
      <c r="AE121" s="4">
        <f>ROUND(S121*(1-(Exhaust!$B$2+AD121)),2)</f>
        <v>0</v>
      </c>
      <c r="AF121" s="5">
        <f>ROUND(T121*(1-(Exhaust!$B$3+$AD121)),2)</f>
        <v>1.67</v>
      </c>
      <c r="AG121" s="3">
        <f>ROUND(U121*(1-(Exhaust!$B$4+$AD121)),2)</f>
        <v>11.24</v>
      </c>
      <c r="AH121" s="4">
        <f>ROUND($AE121*(SUMIFS(PrefFlows!$C:$C,PrefFlows!$A:$A,$S$1,PrefFlows!$B:$B,$B121)+$AC121)+$AF121*(SUMIFS(PrefFlows!$C:$C,PrefFlows!$A:$A,$T$1,PrefFlows!$B:$B,$B121)+$AC121)+$AG121*(SUMIFS(PrefFlows!$C:$C,PrefFlows!$A:$A,$U$1,PrefFlows!$B:$B,$B121)+$AC121),2)</f>
        <v>7.45</v>
      </c>
      <c r="AI121" s="3">
        <f>ROUND($AE121*(1-(SUMIFS(PrefFlows!$C:$C,PrefFlows!$A:$A,$S$1,PrefFlows!$B:$B,$B121)+$AC121))+$AF121*(1-(SUMIFS(PrefFlows!$C:$C,PrefFlows!$A:$A,$T$1,PrefFlows!$B:$B,$B121)+$AC121))+$AG121*(1-(SUMIFS(PrefFlows!$C:$C,PrefFlows!$A:$A,$U$1,PrefFlows!$B:$B,$B121)+$AC121)),2)</f>
        <v>5.46</v>
      </c>
      <c r="AJ121" s="4">
        <f t="shared" si="43"/>
        <v>54.22</v>
      </c>
      <c r="AK121" s="3">
        <f t="shared" si="44"/>
        <v>30.83</v>
      </c>
      <c r="AL121" s="4">
        <f t="shared" si="45"/>
        <v>63.75</v>
      </c>
      <c r="AM121" s="3">
        <f t="shared" si="45"/>
        <v>36.25</v>
      </c>
      <c r="AN121" s="1">
        <f t="shared" si="50"/>
        <v>13.04</v>
      </c>
      <c r="AO121" s="1">
        <f t="shared" si="51"/>
        <v>13.76</v>
      </c>
      <c r="AP121" s="3">
        <f t="shared" si="52"/>
        <v>13.75</v>
      </c>
      <c r="AQ121" s="1" t="b">
        <f t="shared" si="46"/>
        <v>0</v>
      </c>
      <c r="AR121" s="1" t="b">
        <f t="shared" si="46"/>
        <v>0</v>
      </c>
      <c r="AS121" s="3" t="b">
        <f t="shared" si="47"/>
        <v>0</v>
      </c>
      <c r="AT121" s="1">
        <f t="shared" si="48"/>
        <v>0.72000000000000064</v>
      </c>
      <c r="AU121" s="1">
        <f t="shared" si="48"/>
        <v>0.71000000000000085</v>
      </c>
      <c r="AV121" s="3">
        <f t="shared" si="49"/>
        <v>9.9999999999997868E-3</v>
      </c>
      <c r="AW121" s="1">
        <f>ROUND(IF($B121="NSW",N121*Meta!$B$6,N121),1)</f>
        <v>2376.4</v>
      </c>
      <c r="AX121" s="3">
        <f t="shared" si="53"/>
        <v>71908.7</v>
      </c>
    </row>
    <row r="122" spans="1:50" x14ac:dyDescent="0.55000000000000004">
      <c r="A122" s="2" t="s">
        <v>133</v>
      </c>
      <c r="B122" s="3" t="s">
        <v>12</v>
      </c>
      <c r="C122" s="4">
        <v>50.58</v>
      </c>
      <c r="D122" s="5">
        <v>37.75</v>
      </c>
      <c r="E122" s="5">
        <v>0</v>
      </c>
      <c r="F122" s="5">
        <v>1.04</v>
      </c>
      <c r="G122" s="5">
        <v>0</v>
      </c>
      <c r="H122" s="5">
        <v>5.03</v>
      </c>
      <c r="I122" s="5">
        <v>5.6</v>
      </c>
      <c r="J122" s="3">
        <f t="shared" si="31"/>
        <v>6.64</v>
      </c>
      <c r="K122" s="4">
        <v>43.12</v>
      </c>
      <c r="L122" s="3">
        <v>56.88</v>
      </c>
      <c r="M122" s="4">
        <v>91161</v>
      </c>
      <c r="N122" s="5">
        <v>5981</v>
      </c>
      <c r="O122" s="3">
        <f t="shared" si="32"/>
        <v>85180</v>
      </c>
      <c r="P122" s="5">
        <f t="shared" si="33"/>
        <v>6.560919691534757E-2</v>
      </c>
      <c r="Q122" s="4">
        <f>ROUND($C122+MIN($D122:$E122)*(1-SUMIFS(PrefFlows!$C:$C,PrefFlows!$A:$A,INDEX($D$1:$E$1,MATCH(MIN($D122:$E122),$D122:$E122,0)),PrefFlows!$B:$B,$B122)),2)</f>
        <v>50.58</v>
      </c>
      <c r="R122" s="5">
        <f>ROUND(MAX($D122:$E122)+MIN($D122:$E122)*SUMIFS(PrefFlows!$C:$C,PrefFlows!$A:$A,INDEX($D$1:$E$1,MATCH(MIN($D122:$E122),$D122:$E122,0)),PrefFlows!$B:$B,$B122),2)</f>
        <v>37.75</v>
      </c>
      <c r="S122" s="5">
        <f t="shared" si="34"/>
        <v>0</v>
      </c>
      <c r="T122" s="5">
        <f t="shared" si="35"/>
        <v>5.03</v>
      </c>
      <c r="U122" s="3">
        <f t="shared" si="36"/>
        <v>6.64</v>
      </c>
      <c r="V122" s="6">
        <f t="shared" si="37"/>
        <v>-12.83</v>
      </c>
      <c r="W122" s="4">
        <f>ROUND($S122*SUMIFS(PrefFlows!$C:$C,PrefFlows!$A:$A,$S$1,PrefFlows!$B:$B,$B122)+$T122*SUMIFS(PrefFlows!$C:$C,PrefFlows!$A:$A,$T$1,PrefFlows!$B:$B,$B122)+$U122*SUMIFS(PrefFlows!$C:$C,PrefFlows!$A:$A,$U$1,PrefFlows!$B:$B,$B122),2)</f>
        <v>4.4800000000000004</v>
      </c>
      <c r="X122" s="3">
        <f>ROUND($S122*(1-SUMIFS(PrefFlows!$C:$C,PrefFlows!$A:$A,$S$1,PrefFlows!$B:$B,$B122))+$T122*(1-SUMIFS(PrefFlows!$C:$C,PrefFlows!$A:$A,$T$1,PrefFlows!$B:$B,$B122))+$U122*(1-SUMIFS(PrefFlows!$C:$C,PrefFlows!$A:$A,$U$1,PrefFlows!$B:$B,$B122)),2)</f>
        <v>7.19</v>
      </c>
      <c r="Y122" s="4">
        <f t="shared" si="38"/>
        <v>5.37</v>
      </c>
      <c r="Z122" s="3">
        <f t="shared" si="39"/>
        <v>6.3</v>
      </c>
      <c r="AA122" s="4">
        <f t="shared" si="40"/>
        <v>0.38390000000000002</v>
      </c>
      <c r="AB122" s="5">
        <f t="shared" si="41"/>
        <v>0.4602</v>
      </c>
      <c r="AC122" s="5">
        <f t="shared" si="42"/>
        <v>7.6300000000000007E-2</v>
      </c>
      <c r="AD122" s="3">
        <v>4.1826279092662698E-2</v>
      </c>
      <c r="AE122" s="4">
        <f>ROUND(S122*(1-(Exhaust!$B$2+AD122)),2)</f>
        <v>0</v>
      </c>
      <c r="AF122" s="5">
        <f>ROUND(T122*(1-(Exhaust!$B$3+$AD122)),2)</f>
        <v>2.81</v>
      </c>
      <c r="AG122" s="3">
        <f>ROUND(U122*(1-(Exhaust!$B$4+$AD122)),2)</f>
        <v>3.04</v>
      </c>
      <c r="AH122" s="4">
        <f>ROUND($AE122*(SUMIFS(PrefFlows!$C:$C,PrefFlows!$A:$A,$S$1,PrefFlows!$B:$B,$B122)+$AC122)+$AF122*(SUMIFS(PrefFlows!$C:$C,PrefFlows!$A:$A,$T$1,PrefFlows!$B:$B,$B122)+$AC122)+$AG122*(SUMIFS(PrefFlows!$C:$C,PrefFlows!$A:$A,$U$1,PrefFlows!$B:$B,$B122)+$AC122),2)</f>
        <v>2.59</v>
      </c>
      <c r="AI122" s="3">
        <f>ROUND($AE122*(1-(SUMIFS(PrefFlows!$C:$C,PrefFlows!$A:$A,$S$1,PrefFlows!$B:$B,$B122)+$AC122))+$AF122*(1-(SUMIFS(PrefFlows!$C:$C,PrefFlows!$A:$A,$T$1,PrefFlows!$B:$B,$B122)+$AC122))+$AG122*(1-(SUMIFS(PrefFlows!$C:$C,PrefFlows!$A:$A,$U$1,PrefFlows!$B:$B,$B122)+$AC122)),2)</f>
        <v>3.26</v>
      </c>
      <c r="AJ122" s="4">
        <f t="shared" si="43"/>
        <v>40.340000000000003</v>
      </c>
      <c r="AK122" s="3">
        <f t="shared" si="44"/>
        <v>53.84</v>
      </c>
      <c r="AL122" s="4">
        <f t="shared" si="45"/>
        <v>42.83</v>
      </c>
      <c r="AM122" s="3">
        <f t="shared" si="45"/>
        <v>57.17</v>
      </c>
      <c r="AN122" s="1">
        <f t="shared" si="50"/>
        <v>-6.88</v>
      </c>
      <c r="AO122" s="1">
        <f t="shared" si="51"/>
        <v>-7.05</v>
      </c>
      <c r="AP122" s="3">
        <f t="shared" si="52"/>
        <v>-7.17</v>
      </c>
      <c r="AQ122" s="1" t="b">
        <f t="shared" si="46"/>
        <v>0</v>
      </c>
      <c r="AR122" s="1" t="b">
        <f t="shared" si="46"/>
        <v>0</v>
      </c>
      <c r="AS122" s="3" t="b">
        <f t="shared" si="47"/>
        <v>0</v>
      </c>
      <c r="AT122" s="1">
        <f t="shared" si="48"/>
        <v>-0.16999999999999993</v>
      </c>
      <c r="AU122" s="1">
        <f t="shared" si="48"/>
        <v>-0.29000000000000004</v>
      </c>
      <c r="AV122" s="3">
        <f t="shared" si="49"/>
        <v>0.12000000000000011</v>
      </c>
      <c r="AW122" s="1">
        <f>ROUND(IF($B122="NSW",N122*Meta!$B$6,N122),1)</f>
        <v>3929.5</v>
      </c>
      <c r="AX122" s="3">
        <f t="shared" si="53"/>
        <v>83461.5</v>
      </c>
    </row>
    <row r="123" spans="1:50" x14ac:dyDescent="0.55000000000000004">
      <c r="A123" s="2" t="s">
        <v>134</v>
      </c>
      <c r="B123" s="3" t="s">
        <v>12</v>
      </c>
      <c r="C123" s="4">
        <v>42.06</v>
      </c>
      <c r="D123" s="5">
        <v>48.22</v>
      </c>
      <c r="E123" s="5">
        <v>0</v>
      </c>
      <c r="F123" s="5">
        <v>0.67</v>
      </c>
      <c r="G123" s="5">
        <v>0.99</v>
      </c>
      <c r="H123" s="5">
        <v>5.18</v>
      </c>
      <c r="I123" s="5">
        <v>3.87</v>
      </c>
      <c r="J123" s="3">
        <f t="shared" si="31"/>
        <v>3.55</v>
      </c>
      <c r="K123" s="4">
        <v>51.51</v>
      </c>
      <c r="L123" s="3">
        <v>48.49</v>
      </c>
      <c r="M123" s="4">
        <v>87022</v>
      </c>
      <c r="N123" s="5">
        <v>3106</v>
      </c>
      <c r="O123" s="3">
        <f t="shared" si="32"/>
        <v>83916</v>
      </c>
      <c r="P123" s="5">
        <f t="shared" si="33"/>
        <v>3.5692123830755443E-2</v>
      </c>
      <c r="Q123" s="4">
        <f>ROUND($C123+MIN($D123:$E123)*(1-SUMIFS(PrefFlows!$C:$C,PrefFlows!$A:$A,INDEX($D$1:$E$1,MATCH(MIN($D123:$E123),$D123:$E123,0)),PrefFlows!$B:$B,$B123)),2)</f>
        <v>42.06</v>
      </c>
      <c r="R123" s="5">
        <f>ROUND(MAX($D123:$E123)+MIN($D123:$E123)*SUMIFS(PrefFlows!$C:$C,PrefFlows!$A:$A,INDEX($D$1:$E$1,MATCH(MIN($D123:$E123),$D123:$E123,0)),PrefFlows!$B:$B,$B123),2)</f>
        <v>48.22</v>
      </c>
      <c r="S123" s="5">
        <f t="shared" si="34"/>
        <v>0.99</v>
      </c>
      <c r="T123" s="5">
        <f t="shared" si="35"/>
        <v>5.18</v>
      </c>
      <c r="U123" s="3">
        <f t="shared" si="36"/>
        <v>3.55</v>
      </c>
      <c r="V123" s="6">
        <f t="shared" si="37"/>
        <v>6.16</v>
      </c>
      <c r="W123" s="4">
        <f>ROUND($S123*SUMIFS(PrefFlows!$C:$C,PrefFlows!$A:$A,$S$1,PrefFlows!$B:$B,$B123)+$T123*SUMIFS(PrefFlows!$C:$C,PrefFlows!$A:$A,$T$1,PrefFlows!$B:$B,$B123)+$U123*SUMIFS(PrefFlows!$C:$C,PrefFlows!$A:$A,$U$1,PrefFlows!$B:$B,$B123),2)</f>
        <v>3.45</v>
      </c>
      <c r="X123" s="3">
        <f>ROUND($S123*(1-SUMIFS(PrefFlows!$C:$C,PrefFlows!$A:$A,$S$1,PrefFlows!$B:$B,$B123))+$T123*(1-SUMIFS(PrefFlows!$C:$C,PrefFlows!$A:$A,$T$1,PrefFlows!$B:$B,$B123))+$U123*(1-SUMIFS(PrefFlows!$C:$C,PrefFlows!$A:$A,$U$1,PrefFlows!$B:$B,$B123)),2)</f>
        <v>6.27</v>
      </c>
      <c r="Y123" s="4">
        <f t="shared" si="38"/>
        <v>3.29</v>
      </c>
      <c r="Z123" s="3">
        <f t="shared" si="39"/>
        <v>6.43</v>
      </c>
      <c r="AA123" s="4">
        <f t="shared" si="40"/>
        <v>0.35489999999999999</v>
      </c>
      <c r="AB123" s="5">
        <f t="shared" si="41"/>
        <v>0.33850000000000002</v>
      </c>
      <c r="AC123" s="5">
        <f t="shared" si="42"/>
        <v>-1.6400000000000001E-2</v>
      </c>
      <c r="AD123" s="3">
        <v>5.9316105730257598E-2</v>
      </c>
      <c r="AE123" s="4">
        <f>ROUND(S123*(1-(Exhaust!$B$2+AD123)),2)</f>
        <v>0.38</v>
      </c>
      <c r="AF123" s="5">
        <f>ROUND(T123*(1-(Exhaust!$B$3+$AD123)),2)</f>
        <v>2.8</v>
      </c>
      <c r="AG123" s="3">
        <f>ROUND(U123*(1-(Exhaust!$B$4+$AD123)),2)</f>
        <v>1.56</v>
      </c>
      <c r="AH123" s="4">
        <f>ROUND($AE123*(SUMIFS(PrefFlows!$C:$C,PrefFlows!$A:$A,$S$1,PrefFlows!$B:$B,$B123)+$AC123)+$AF123*(SUMIFS(PrefFlows!$C:$C,PrefFlows!$A:$A,$T$1,PrefFlows!$B:$B,$B123)+$AC123)+$AG123*(SUMIFS(PrefFlows!$C:$C,PrefFlows!$A:$A,$U$1,PrefFlows!$B:$B,$B123)+$AC123),2)</f>
        <v>1.51</v>
      </c>
      <c r="AI123" s="3">
        <f>ROUND($AE123*(1-(SUMIFS(PrefFlows!$C:$C,PrefFlows!$A:$A,$S$1,PrefFlows!$B:$B,$B123)+$AC123))+$AF123*(1-(SUMIFS(PrefFlows!$C:$C,PrefFlows!$A:$A,$T$1,PrefFlows!$B:$B,$B123)+$AC123))+$AG123*(1-(SUMIFS(PrefFlows!$C:$C,PrefFlows!$A:$A,$U$1,PrefFlows!$B:$B,$B123)+$AC123)),2)</f>
        <v>3.23</v>
      </c>
      <c r="AJ123" s="4">
        <f t="shared" si="43"/>
        <v>49.73</v>
      </c>
      <c r="AK123" s="3">
        <f t="shared" si="44"/>
        <v>45.29</v>
      </c>
      <c r="AL123" s="4">
        <f t="shared" si="45"/>
        <v>52.34</v>
      </c>
      <c r="AM123" s="3">
        <f t="shared" si="45"/>
        <v>47.66</v>
      </c>
      <c r="AN123" s="1">
        <f t="shared" si="50"/>
        <v>1.51</v>
      </c>
      <c r="AO123" s="1">
        <f t="shared" si="51"/>
        <v>2.37</v>
      </c>
      <c r="AP123" s="3">
        <f t="shared" si="52"/>
        <v>2.34</v>
      </c>
      <c r="AQ123" s="1" t="b">
        <f t="shared" si="46"/>
        <v>0</v>
      </c>
      <c r="AR123" s="1" t="b">
        <f t="shared" si="46"/>
        <v>0</v>
      </c>
      <c r="AS123" s="3" t="b">
        <f t="shared" si="47"/>
        <v>0</v>
      </c>
      <c r="AT123" s="1">
        <f t="shared" si="48"/>
        <v>0.8600000000000001</v>
      </c>
      <c r="AU123" s="1">
        <f t="shared" si="48"/>
        <v>0.82999999999999985</v>
      </c>
      <c r="AV123" s="3">
        <f t="shared" si="49"/>
        <v>3.0000000000000249E-2</v>
      </c>
      <c r="AW123" s="1">
        <f>ROUND(IF($B123="NSW",N123*Meta!$B$6,N123),1)</f>
        <v>2040.6</v>
      </c>
      <c r="AX123" s="3">
        <f t="shared" si="53"/>
        <v>81434</v>
      </c>
    </row>
    <row r="124" spans="1:50" x14ac:dyDescent="0.55000000000000004">
      <c r="A124" s="2" t="s">
        <v>135</v>
      </c>
      <c r="B124" s="3" t="s">
        <v>30</v>
      </c>
      <c r="C124" s="4">
        <v>32.01</v>
      </c>
      <c r="D124" s="5">
        <v>51.81</v>
      </c>
      <c r="E124" s="5">
        <v>0</v>
      </c>
      <c r="F124" s="5">
        <v>1.46</v>
      </c>
      <c r="G124" s="5">
        <v>1.62</v>
      </c>
      <c r="H124" s="5">
        <v>8.59</v>
      </c>
      <c r="I124" s="5">
        <v>6.13</v>
      </c>
      <c r="J124" s="3">
        <f t="shared" si="31"/>
        <v>5.97</v>
      </c>
      <c r="K124" s="4">
        <v>59.07</v>
      </c>
      <c r="L124" s="3">
        <v>40.93</v>
      </c>
      <c r="M124" s="4">
        <v>88188</v>
      </c>
      <c r="N124" s="5">
        <v>3505</v>
      </c>
      <c r="O124" s="3">
        <f t="shared" si="32"/>
        <v>84683</v>
      </c>
      <c r="P124" s="5">
        <f t="shared" si="33"/>
        <v>3.9744636458475077E-2</v>
      </c>
      <c r="Q124" s="4">
        <f>ROUND($C124+MIN($D124:$E124)*(1-SUMIFS(PrefFlows!$C:$C,PrefFlows!$A:$A,INDEX($D$1:$E$1,MATCH(MIN($D124:$E124),$D124:$E124,0)),PrefFlows!$B:$B,$B124)),2)</f>
        <v>32.01</v>
      </c>
      <c r="R124" s="5">
        <f>ROUND(MAX($D124:$E124)+MIN($D124:$E124)*SUMIFS(PrefFlows!$C:$C,PrefFlows!$A:$A,INDEX($D$1:$E$1,MATCH(MIN($D124:$E124),$D124:$E124,0)),PrefFlows!$B:$B,$B124),2)</f>
        <v>51.81</v>
      </c>
      <c r="S124" s="5">
        <f t="shared" si="34"/>
        <v>1.62</v>
      </c>
      <c r="T124" s="5">
        <f t="shared" si="35"/>
        <v>8.59</v>
      </c>
      <c r="U124" s="3">
        <f t="shared" si="36"/>
        <v>5.97</v>
      </c>
      <c r="V124" s="6">
        <f t="shared" si="37"/>
        <v>19.8</v>
      </c>
      <c r="W124" s="4">
        <f>ROUND($S124*SUMIFS(PrefFlows!$C:$C,PrefFlows!$A:$A,$S$1,PrefFlows!$B:$B,$B124)+$T124*SUMIFS(PrefFlows!$C:$C,PrefFlows!$A:$A,$T$1,PrefFlows!$B:$B,$B124)+$U124*SUMIFS(PrefFlows!$C:$C,PrefFlows!$A:$A,$U$1,PrefFlows!$B:$B,$B124),2)</f>
        <v>5.99</v>
      </c>
      <c r="X124" s="3">
        <f>ROUND($S124*(1-SUMIFS(PrefFlows!$C:$C,PrefFlows!$A:$A,$S$1,PrefFlows!$B:$B,$B124))+$T124*(1-SUMIFS(PrefFlows!$C:$C,PrefFlows!$A:$A,$T$1,PrefFlows!$B:$B,$B124))+$U124*(1-SUMIFS(PrefFlows!$C:$C,PrefFlows!$A:$A,$U$1,PrefFlows!$B:$B,$B124)),2)</f>
        <v>10.19</v>
      </c>
      <c r="Y124" s="4">
        <f t="shared" si="38"/>
        <v>7.26</v>
      </c>
      <c r="Z124" s="3">
        <f t="shared" si="39"/>
        <v>8.92</v>
      </c>
      <c r="AA124" s="4">
        <f t="shared" si="40"/>
        <v>0.37019999999999997</v>
      </c>
      <c r="AB124" s="5">
        <f t="shared" si="41"/>
        <v>0.44869999999999999</v>
      </c>
      <c r="AC124" s="5">
        <f t="shared" si="42"/>
        <v>7.85E-2</v>
      </c>
      <c r="AD124" s="3">
        <v>4.2252996531796802E-2</v>
      </c>
      <c r="AE124" s="4">
        <f>ROUND(S124*(1-(Exhaust!$B$2+AD124)),2)</f>
        <v>0.64</v>
      </c>
      <c r="AF124" s="5">
        <f>ROUND(T124*(1-(Exhaust!$B$3+$AD124)),2)</f>
        <v>4.79</v>
      </c>
      <c r="AG124" s="3">
        <f>ROUND(U124*(1-(Exhaust!$B$4+$AD124)),2)</f>
        <v>2.73</v>
      </c>
      <c r="AH124" s="4">
        <f>ROUND($AE124*(SUMIFS(PrefFlows!$C:$C,PrefFlows!$A:$A,$S$1,PrefFlows!$B:$B,$B124)+$AC124)+$AF124*(SUMIFS(PrefFlows!$C:$C,PrefFlows!$A:$A,$T$1,PrefFlows!$B:$B,$B124)+$AC124)+$AG124*(SUMIFS(PrefFlows!$C:$C,PrefFlows!$A:$A,$U$1,PrefFlows!$B:$B,$B124)+$AC124),2)</f>
        <v>3.54</v>
      </c>
      <c r="AI124" s="3">
        <f>ROUND($AE124*(1-(SUMIFS(PrefFlows!$C:$C,PrefFlows!$A:$A,$S$1,PrefFlows!$B:$B,$B124)+$AC124))+$AF124*(1-(SUMIFS(PrefFlows!$C:$C,PrefFlows!$A:$A,$T$1,PrefFlows!$B:$B,$B124)+$AC124))+$AG124*(1-(SUMIFS(PrefFlows!$C:$C,PrefFlows!$A:$A,$U$1,PrefFlows!$B:$B,$B124)+$AC124)),2)</f>
        <v>4.62</v>
      </c>
      <c r="AJ124" s="4">
        <f t="shared" si="43"/>
        <v>55.35</v>
      </c>
      <c r="AK124" s="3">
        <f t="shared" si="44"/>
        <v>36.630000000000003</v>
      </c>
      <c r="AL124" s="4">
        <f t="shared" si="45"/>
        <v>60.18</v>
      </c>
      <c r="AM124" s="3">
        <f t="shared" si="45"/>
        <v>39.82</v>
      </c>
      <c r="AN124" s="1">
        <f t="shared" si="50"/>
        <v>9.07</v>
      </c>
      <c r="AO124" s="1">
        <f t="shared" si="51"/>
        <v>10.27</v>
      </c>
      <c r="AP124" s="3">
        <f t="shared" si="52"/>
        <v>10.18</v>
      </c>
      <c r="AQ124" s="1" t="b">
        <f t="shared" si="46"/>
        <v>0</v>
      </c>
      <c r="AR124" s="1" t="b">
        <f t="shared" si="46"/>
        <v>0</v>
      </c>
      <c r="AS124" s="3" t="b">
        <f t="shared" si="47"/>
        <v>0</v>
      </c>
      <c r="AT124" s="1">
        <f t="shared" si="48"/>
        <v>1.1999999999999993</v>
      </c>
      <c r="AU124" s="1">
        <f t="shared" si="48"/>
        <v>1.1099999999999994</v>
      </c>
      <c r="AV124" s="3">
        <f t="shared" si="49"/>
        <v>8.9999999999999858E-2</v>
      </c>
      <c r="AW124" s="1">
        <f>ROUND(IF($B124="NSW",N124*Meta!$B$6,N124),1)</f>
        <v>3505</v>
      </c>
      <c r="AX124" s="3">
        <f t="shared" si="53"/>
        <v>79029.899999999994</v>
      </c>
    </row>
    <row r="125" spans="1:50" x14ac:dyDescent="0.55000000000000004">
      <c r="A125" s="2" t="s">
        <v>136</v>
      </c>
      <c r="B125" s="3" t="s">
        <v>30</v>
      </c>
      <c r="C125" s="4">
        <v>46.87</v>
      </c>
      <c r="D125" s="5">
        <v>35.979999999999997</v>
      </c>
      <c r="E125" s="5">
        <v>0</v>
      </c>
      <c r="F125" s="5">
        <v>1.07</v>
      </c>
      <c r="G125" s="5">
        <v>0.8</v>
      </c>
      <c r="H125" s="5">
        <v>10.63</v>
      </c>
      <c r="I125" s="5">
        <v>5.45</v>
      </c>
      <c r="J125" s="3">
        <f t="shared" si="31"/>
        <v>5.72</v>
      </c>
      <c r="K125" s="4">
        <v>41.15</v>
      </c>
      <c r="L125" s="3">
        <v>58.85</v>
      </c>
      <c r="M125" s="4">
        <v>82023</v>
      </c>
      <c r="N125" s="5">
        <v>3757</v>
      </c>
      <c r="O125" s="3">
        <f t="shared" si="32"/>
        <v>78266</v>
      </c>
      <c r="P125" s="5">
        <f t="shared" si="33"/>
        <v>4.5804225644026676E-2</v>
      </c>
      <c r="Q125" s="4">
        <f>ROUND($C125+MIN($D125:$E125)*(1-SUMIFS(PrefFlows!$C:$C,PrefFlows!$A:$A,INDEX($D$1:$E$1,MATCH(MIN($D125:$E125),$D125:$E125,0)),PrefFlows!$B:$B,$B125)),2)</f>
        <v>46.87</v>
      </c>
      <c r="R125" s="5">
        <f>ROUND(MAX($D125:$E125)+MIN($D125:$E125)*SUMIFS(PrefFlows!$C:$C,PrefFlows!$A:$A,INDEX($D$1:$E$1,MATCH(MIN($D125:$E125),$D125:$E125,0)),PrefFlows!$B:$B,$B125),2)</f>
        <v>35.979999999999997</v>
      </c>
      <c r="S125" s="5">
        <f t="shared" si="34"/>
        <v>0.8</v>
      </c>
      <c r="T125" s="5">
        <f t="shared" si="35"/>
        <v>10.63</v>
      </c>
      <c r="U125" s="3">
        <f t="shared" si="36"/>
        <v>5.72</v>
      </c>
      <c r="V125" s="6">
        <f t="shared" si="37"/>
        <v>-10.89</v>
      </c>
      <c r="W125" s="4">
        <f>ROUND($S125*SUMIFS(PrefFlows!$C:$C,PrefFlows!$A:$A,$S$1,PrefFlows!$B:$B,$B125)+$T125*SUMIFS(PrefFlows!$C:$C,PrefFlows!$A:$A,$T$1,PrefFlows!$B:$B,$B125)+$U125*SUMIFS(PrefFlows!$C:$C,PrefFlows!$A:$A,$U$1,PrefFlows!$B:$B,$B125),2)</f>
        <v>5.94</v>
      </c>
      <c r="X125" s="3">
        <f>ROUND($S125*(1-SUMIFS(PrefFlows!$C:$C,PrefFlows!$A:$A,$S$1,PrefFlows!$B:$B,$B125))+$T125*(1-SUMIFS(PrefFlows!$C:$C,PrefFlows!$A:$A,$T$1,PrefFlows!$B:$B,$B125))+$U125*(1-SUMIFS(PrefFlows!$C:$C,PrefFlows!$A:$A,$U$1,PrefFlows!$B:$B,$B125)),2)</f>
        <v>11.21</v>
      </c>
      <c r="Y125" s="4">
        <f t="shared" si="38"/>
        <v>5.17</v>
      </c>
      <c r="Z125" s="3">
        <f t="shared" si="39"/>
        <v>11.98</v>
      </c>
      <c r="AA125" s="4">
        <f t="shared" si="40"/>
        <v>0.34639999999999999</v>
      </c>
      <c r="AB125" s="5">
        <f t="shared" si="41"/>
        <v>0.30149999999999999</v>
      </c>
      <c r="AC125" s="5">
        <f t="shared" si="42"/>
        <v>-4.4900000000000002E-2</v>
      </c>
      <c r="AD125" s="3">
        <v>-1.22056989887156E-2</v>
      </c>
      <c r="AE125" s="4">
        <f>ROUND(S125*(1-(Exhaust!$B$2+AD125)),2)</f>
        <v>0.36</v>
      </c>
      <c r="AF125" s="5">
        <f>ROUND(T125*(1-(Exhaust!$B$3+$AD125)),2)</f>
        <v>6.51</v>
      </c>
      <c r="AG125" s="3">
        <f>ROUND(U125*(1-(Exhaust!$B$4+$AD125)),2)</f>
        <v>2.93</v>
      </c>
      <c r="AH125" s="4">
        <f>ROUND($AE125*(SUMIFS(PrefFlows!$C:$C,PrefFlows!$A:$A,$S$1,PrefFlows!$B:$B,$B125)+$AC125)+$AF125*(SUMIFS(PrefFlows!$C:$C,PrefFlows!$A:$A,$T$1,PrefFlows!$B:$B,$B125)+$AC125)+$AG125*(SUMIFS(PrefFlows!$C:$C,PrefFlows!$A:$A,$U$1,PrefFlows!$B:$B,$B125)+$AC125),2)</f>
        <v>2.84</v>
      </c>
      <c r="AI125" s="3">
        <f>ROUND($AE125*(1-(SUMIFS(PrefFlows!$C:$C,PrefFlows!$A:$A,$S$1,PrefFlows!$B:$B,$B125)+$AC125))+$AF125*(1-(SUMIFS(PrefFlows!$C:$C,PrefFlows!$A:$A,$T$1,PrefFlows!$B:$B,$B125)+$AC125))+$AG125*(1-(SUMIFS(PrefFlows!$C:$C,PrefFlows!$A:$A,$U$1,PrefFlows!$B:$B,$B125)+$AC125)),2)</f>
        <v>6.96</v>
      </c>
      <c r="AJ125" s="4">
        <f t="shared" si="43"/>
        <v>38.82</v>
      </c>
      <c r="AK125" s="3">
        <f t="shared" si="44"/>
        <v>53.83</v>
      </c>
      <c r="AL125" s="4">
        <f t="shared" si="45"/>
        <v>41.9</v>
      </c>
      <c r="AM125" s="3">
        <f t="shared" si="45"/>
        <v>58.1</v>
      </c>
      <c r="AN125" s="1">
        <f t="shared" si="50"/>
        <v>-8.85</v>
      </c>
      <c r="AO125" s="1">
        <f t="shared" si="51"/>
        <v>-7.86</v>
      </c>
      <c r="AP125" s="3">
        <f t="shared" si="52"/>
        <v>-8.1</v>
      </c>
      <c r="AQ125" s="1" t="b">
        <f t="shared" si="46"/>
        <v>0</v>
      </c>
      <c r="AR125" s="1" t="b">
        <f t="shared" si="46"/>
        <v>0</v>
      </c>
      <c r="AS125" s="3" t="b">
        <f t="shared" si="47"/>
        <v>0</v>
      </c>
      <c r="AT125" s="1">
        <f t="shared" si="48"/>
        <v>0.98999999999999932</v>
      </c>
      <c r="AU125" s="1">
        <f t="shared" si="48"/>
        <v>0.75</v>
      </c>
      <c r="AV125" s="3">
        <f t="shared" si="49"/>
        <v>0.23999999999999932</v>
      </c>
      <c r="AW125" s="1">
        <f>ROUND(IF($B125="NSW",N125*Meta!$B$6,N125),1)</f>
        <v>3757</v>
      </c>
      <c r="AX125" s="3">
        <f t="shared" si="53"/>
        <v>73742.600000000006</v>
      </c>
    </row>
    <row r="126" spans="1:50" x14ac:dyDescent="0.55000000000000004">
      <c r="A126" s="2" t="s">
        <v>137</v>
      </c>
      <c r="B126" s="3" t="s">
        <v>22</v>
      </c>
      <c r="C126" s="4">
        <v>46.89</v>
      </c>
      <c r="D126" s="5">
        <v>44.86</v>
      </c>
      <c r="E126" s="5">
        <v>0</v>
      </c>
      <c r="F126" s="5">
        <v>1.82</v>
      </c>
      <c r="G126" s="5">
        <v>0</v>
      </c>
      <c r="H126" s="5">
        <v>4.68</v>
      </c>
      <c r="I126" s="5">
        <v>1.75</v>
      </c>
      <c r="J126" s="3">
        <f t="shared" si="31"/>
        <v>3.57</v>
      </c>
      <c r="K126" s="4">
        <v>47.95</v>
      </c>
      <c r="L126" s="3">
        <v>52.05</v>
      </c>
      <c r="M126" s="4">
        <v>85700</v>
      </c>
      <c r="N126" s="5">
        <v>2546</v>
      </c>
      <c r="O126" s="3">
        <f t="shared" si="32"/>
        <v>83154</v>
      </c>
      <c r="P126" s="5">
        <f t="shared" si="33"/>
        <v>2.9708284714119019E-2</v>
      </c>
      <c r="Q126" s="4">
        <f>ROUND($C126+MIN($D126:$E126)*(1-SUMIFS(PrefFlows!$C:$C,PrefFlows!$A:$A,INDEX($D$1:$E$1,MATCH(MIN($D126:$E126),$D126:$E126,0)),PrefFlows!$B:$B,$B126)),2)</f>
        <v>46.89</v>
      </c>
      <c r="R126" s="5">
        <f>ROUND(MAX($D126:$E126)+MIN($D126:$E126)*SUMIFS(PrefFlows!$C:$C,PrefFlows!$A:$A,INDEX($D$1:$E$1,MATCH(MIN($D126:$E126),$D126:$E126,0)),PrefFlows!$B:$B,$B126),2)</f>
        <v>44.86</v>
      </c>
      <c r="S126" s="5">
        <f t="shared" si="34"/>
        <v>0</v>
      </c>
      <c r="T126" s="5">
        <f t="shared" si="35"/>
        <v>4.68</v>
      </c>
      <c r="U126" s="3">
        <f t="shared" si="36"/>
        <v>3.57</v>
      </c>
      <c r="V126" s="6">
        <f t="shared" si="37"/>
        <v>-2.0299999999999998</v>
      </c>
      <c r="W126" s="4">
        <f>ROUND($S126*SUMIFS(PrefFlows!$C:$C,PrefFlows!$A:$A,$S$1,PrefFlows!$B:$B,$B126)+$T126*SUMIFS(PrefFlows!$C:$C,PrefFlows!$A:$A,$T$1,PrefFlows!$B:$B,$B126)+$U126*SUMIFS(PrefFlows!$C:$C,PrefFlows!$A:$A,$U$1,PrefFlows!$B:$B,$B126),2)</f>
        <v>2.97</v>
      </c>
      <c r="X126" s="3">
        <f>ROUND($S126*(1-SUMIFS(PrefFlows!$C:$C,PrefFlows!$A:$A,$S$1,PrefFlows!$B:$B,$B126))+$T126*(1-SUMIFS(PrefFlows!$C:$C,PrefFlows!$A:$A,$T$1,PrefFlows!$B:$B,$B126))+$U126*(1-SUMIFS(PrefFlows!$C:$C,PrefFlows!$A:$A,$U$1,PrefFlows!$B:$B,$B126)),2)</f>
        <v>5.28</v>
      </c>
      <c r="Y126" s="4">
        <f t="shared" si="38"/>
        <v>3.09</v>
      </c>
      <c r="Z126" s="3">
        <f t="shared" si="39"/>
        <v>5.16</v>
      </c>
      <c r="AA126" s="4">
        <f t="shared" si="40"/>
        <v>0.36</v>
      </c>
      <c r="AB126" s="5">
        <f t="shared" si="41"/>
        <v>0.3745</v>
      </c>
      <c r="AC126" s="5">
        <f t="shared" si="42"/>
        <v>1.4500000000000001E-2</v>
      </c>
      <c r="AD126" s="3">
        <v>2.0136303988926001E-2</v>
      </c>
      <c r="AE126" s="4">
        <f>ROUND(S126*(1-(Exhaust!$B$2+AD126)),2)</f>
        <v>0</v>
      </c>
      <c r="AF126" s="5">
        <f>ROUND(T126*(1-(Exhaust!$B$3+$AD126)),2)</f>
        <v>2.71</v>
      </c>
      <c r="AG126" s="3">
        <f>ROUND(U126*(1-(Exhaust!$B$4+$AD126)),2)</f>
        <v>1.71</v>
      </c>
      <c r="AH126" s="4">
        <f>ROUND($AE126*(SUMIFS(PrefFlows!$C:$C,PrefFlows!$A:$A,$S$1,PrefFlows!$B:$B,$B126)+$AC126)+$AF126*(SUMIFS(PrefFlows!$C:$C,PrefFlows!$A:$A,$T$1,PrefFlows!$B:$B,$B126)+$AC126)+$AG126*(SUMIFS(PrefFlows!$C:$C,PrefFlows!$A:$A,$U$1,PrefFlows!$B:$B,$B126)+$AC126),2)</f>
        <v>1.6</v>
      </c>
      <c r="AI126" s="3">
        <f>ROUND($AE126*(1-(SUMIFS(PrefFlows!$C:$C,PrefFlows!$A:$A,$S$1,PrefFlows!$B:$B,$B126)+$AC126))+$AF126*(1-(SUMIFS(PrefFlows!$C:$C,PrefFlows!$A:$A,$T$1,PrefFlows!$B:$B,$B126)+$AC126))+$AG126*(1-(SUMIFS(PrefFlows!$C:$C,PrefFlows!$A:$A,$U$1,PrefFlows!$B:$B,$B126)+$AC126)),2)</f>
        <v>2.82</v>
      </c>
      <c r="AJ126" s="4">
        <f t="shared" si="43"/>
        <v>46.46</v>
      </c>
      <c r="AK126" s="3">
        <f t="shared" si="44"/>
        <v>49.71</v>
      </c>
      <c r="AL126" s="4">
        <f t="shared" si="45"/>
        <v>48.31</v>
      </c>
      <c r="AM126" s="3">
        <f t="shared" si="45"/>
        <v>51.69</v>
      </c>
      <c r="AN126" s="1">
        <f t="shared" si="50"/>
        <v>-2.0499999999999998</v>
      </c>
      <c r="AO126" s="1">
        <f t="shared" si="51"/>
        <v>-1.62</v>
      </c>
      <c r="AP126" s="3">
        <f t="shared" si="52"/>
        <v>-1.69</v>
      </c>
      <c r="AQ126" s="1" t="b">
        <f t="shared" si="46"/>
        <v>0</v>
      </c>
      <c r="AR126" s="1" t="b">
        <f t="shared" si="46"/>
        <v>0</v>
      </c>
      <c r="AS126" s="3" t="b">
        <f t="shared" si="47"/>
        <v>0</v>
      </c>
      <c r="AT126" s="1">
        <f t="shared" si="48"/>
        <v>0.42999999999999972</v>
      </c>
      <c r="AU126" s="1">
        <f t="shared" si="48"/>
        <v>0.35999999999999988</v>
      </c>
      <c r="AV126" s="3">
        <f t="shared" si="49"/>
        <v>6.999999999999984E-2</v>
      </c>
      <c r="AW126" s="1">
        <f>ROUND(IF($B126="NSW",N126*Meta!$B$6,N126),1)</f>
        <v>2546</v>
      </c>
      <c r="AX126" s="3">
        <f t="shared" si="53"/>
        <v>80833.8</v>
      </c>
    </row>
    <row r="127" spans="1:50" x14ac:dyDescent="0.55000000000000004">
      <c r="A127" s="2" t="s">
        <v>138</v>
      </c>
      <c r="B127" s="3" t="s">
        <v>7</v>
      </c>
      <c r="C127" s="4">
        <v>58.24</v>
      </c>
      <c r="D127" s="5">
        <v>25.21</v>
      </c>
      <c r="E127" s="5">
        <v>0</v>
      </c>
      <c r="F127" s="5">
        <v>5.78</v>
      </c>
      <c r="G127" s="5">
        <v>0</v>
      </c>
      <c r="H127" s="5">
        <v>8.76</v>
      </c>
      <c r="I127" s="5">
        <v>2.0099999999999998</v>
      </c>
      <c r="J127" s="3">
        <f t="shared" si="31"/>
        <v>7.79</v>
      </c>
      <c r="K127" s="4">
        <v>30.25</v>
      </c>
      <c r="L127" s="3">
        <v>69.75</v>
      </c>
      <c r="M127" s="4">
        <v>95273</v>
      </c>
      <c r="N127" s="5">
        <v>4724</v>
      </c>
      <c r="O127" s="3">
        <f t="shared" si="32"/>
        <v>90549</v>
      </c>
      <c r="P127" s="5">
        <f t="shared" si="33"/>
        <v>4.9583827527211279E-2</v>
      </c>
      <c r="Q127" s="4">
        <f>ROUND($C127+MIN($D127:$E127)*(1-SUMIFS(PrefFlows!$C:$C,PrefFlows!$A:$A,INDEX($D$1:$E$1,MATCH(MIN($D127:$E127),$D127:$E127,0)),PrefFlows!$B:$B,$B127)),2)</f>
        <v>58.24</v>
      </c>
      <c r="R127" s="5">
        <f>ROUND(MAX($D127:$E127)+MIN($D127:$E127)*SUMIFS(PrefFlows!$C:$C,PrefFlows!$A:$A,INDEX($D$1:$E$1,MATCH(MIN($D127:$E127),$D127:$E127,0)),PrefFlows!$B:$B,$B127),2)</f>
        <v>25.21</v>
      </c>
      <c r="S127" s="5">
        <f t="shared" si="34"/>
        <v>0</v>
      </c>
      <c r="T127" s="5">
        <f t="shared" si="35"/>
        <v>8.76</v>
      </c>
      <c r="U127" s="3">
        <f t="shared" si="36"/>
        <v>7.79</v>
      </c>
      <c r="V127" s="6">
        <f t="shared" si="37"/>
        <v>-33.03</v>
      </c>
      <c r="W127" s="4">
        <f>ROUND($S127*SUMIFS(PrefFlows!$C:$C,PrefFlows!$A:$A,$S$1,PrefFlows!$B:$B,$B127)+$T127*SUMIFS(PrefFlows!$C:$C,PrefFlows!$A:$A,$T$1,PrefFlows!$B:$B,$B127)+$U127*SUMIFS(PrefFlows!$C:$C,PrefFlows!$A:$A,$U$1,PrefFlows!$B:$B,$B127),2)</f>
        <v>6.03</v>
      </c>
      <c r="X127" s="3">
        <f>ROUND($S127*(1-SUMIFS(PrefFlows!$C:$C,PrefFlows!$A:$A,$S$1,PrefFlows!$B:$B,$B127))+$T127*(1-SUMIFS(PrefFlows!$C:$C,PrefFlows!$A:$A,$T$1,PrefFlows!$B:$B,$B127))+$U127*(1-SUMIFS(PrefFlows!$C:$C,PrefFlows!$A:$A,$U$1,PrefFlows!$B:$B,$B127)),2)</f>
        <v>10.52</v>
      </c>
      <c r="Y127" s="4">
        <f t="shared" si="38"/>
        <v>5.04</v>
      </c>
      <c r="Z127" s="3">
        <f t="shared" si="39"/>
        <v>11.51</v>
      </c>
      <c r="AA127" s="4">
        <f t="shared" si="40"/>
        <v>0.3644</v>
      </c>
      <c r="AB127" s="5">
        <f t="shared" si="41"/>
        <v>0.30449999999999999</v>
      </c>
      <c r="AC127" s="5">
        <f t="shared" si="42"/>
        <v>-5.9900000000000002E-2</v>
      </c>
      <c r="AD127" s="3">
        <v>3.7840722012046198E-2</v>
      </c>
      <c r="AE127" s="4">
        <f>ROUND(S127*(1-(Exhaust!$B$2+AD127)),2)</f>
        <v>0</v>
      </c>
      <c r="AF127" s="5">
        <f>ROUND(T127*(1-(Exhaust!$B$3+$AD127)),2)</f>
        <v>4.92</v>
      </c>
      <c r="AG127" s="3">
        <f>ROUND(U127*(1-(Exhaust!$B$4+$AD127)),2)</f>
        <v>3.6</v>
      </c>
      <c r="AH127" s="4">
        <f>ROUND($AE127*(SUMIFS(PrefFlows!$C:$C,PrefFlows!$A:$A,$S$1,PrefFlows!$B:$B,$B127)+$AC127)+$AF127*(SUMIFS(PrefFlows!$C:$C,PrefFlows!$A:$A,$T$1,PrefFlows!$B:$B,$B127)+$AC127)+$AG127*(SUMIFS(PrefFlows!$C:$C,PrefFlows!$A:$A,$U$1,PrefFlows!$B:$B,$B127)+$AC127),2)</f>
        <v>2.48</v>
      </c>
      <c r="AI127" s="3">
        <f>ROUND($AE127*(1-(SUMIFS(PrefFlows!$C:$C,PrefFlows!$A:$A,$S$1,PrefFlows!$B:$B,$B127)+$AC127))+$AF127*(1-(SUMIFS(PrefFlows!$C:$C,PrefFlows!$A:$A,$T$1,PrefFlows!$B:$B,$B127)+$AC127))+$AG127*(1-(SUMIFS(PrefFlows!$C:$C,PrefFlows!$A:$A,$U$1,PrefFlows!$B:$B,$B127)+$AC127)),2)</f>
        <v>6.04</v>
      </c>
      <c r="AJ127" s="4">
        <f t="shared" si="43"/>
        <v>27.69</v>
      </c>
      <c r="AK127" s="3">
        <f t="shared" si="44"/>
        <v>64.28</v>
      </c>
      <c r="AL127" s="4">
        <f t="shared" si="45"/>
        <v>30.11</v>
      </c>
      <c r="AM127" s="3">
        <f t="shared" si="45"/>
        <v>69.89</v>
      </c>
      <c r="AN127" s="1">
        <f t="shared" si="50"/>
        <v>-19.75</v>
      </c>
      <c r="AO127" s="1">
        <f t="shared" si="51"/>
        <v>-19.77</v>
      </c>
      <c r="AP127" s="3">
        <f t="shared" si="52"/>
        <v>-19.89</v>
      </c>
      <c r="AQ127" s="1" t="b">
        <f t="shared" si="46"/>
        <v>0</v>
      </c>
      <c r="AR127" s="1" t="b">
        <f t="shared" si="46"/>
        <v>0</v>
      </c>
      <c r="AS127" s="3" t="b">
        <f t="shared" si="47"/>
        <v>0</v>
      </c>
      <c r="AT127" s="1">
        <f t="shared" si="48"/>
        <v>-1.9999999999999574E-2</v>
      </c>
      <c r="AU127" s="1">
        <f t="shared" si="48"/>
        <v>-0.14000000000000057</v>
      </c>
      <c r="AV127" s="3">
        <f t="shared" si="49"/>
        <v>0.12000000000000099</v>
      </c>
      <c r="AW127" s="1">
        <f>ROUND(IF($B127="NSW",N127*Meta!$B$6,N127),1)</f>
        <v>4724</v>
      </c>
      <c r="AX127" s="3">
        <f t="shared" si="53"/>
        <v>84812.1</v>
      </c>
    </row>
    <row r="128" spans="1:50" x14ac:dyDescent="0.55000000000000004">
      <c r="A128" s="2" t="s">
        <v>139</v>
      </c>
      <c r="B128" s="3" t="s">
        <v>12</v>
      </c>
      <c r="C128" s="4">
        <v>58.18</v>
      </c>
      <c r="D128" s="5">
        <v>31.15</v>
      </c>
      <c r="E128" s="5">
        <v>0</v>
      </c>
      <c r="F128" s="5">
        <v>3.35</v>
      </c>
      <c r="G128" s="5">
        <v>0</v>
      </c>
      <c r="H128" s="5">
        <v>4.5599999999999996</v>
      </c>
      <c r="I128" s="5">
        <v>2.76</v>
      </c>
      <c r="J128" s="3">
        <f t="shared" si="31"/>
        <v>6.11</v>
      </c>
      <c r="K128" s="4">
        <v>36.54</v>
      </c>
      <c r="L128" s="3">
        <v>63.46</v>
      </c>
      <c r="M128" s="4">
        <v>85948</v>
      </c>
      <c r="N128" s="5">
        <v>6648</v>
      </c>
      <c r="O128" s="3">
        <f t="shared" si="32"/>
        <v>79300</v>
      </c>
      <c r="P128" s="5">
        <f t="shared" si="33"/>
        <v>7.7349094801507895E-2</v>
      </c>
      <c r="Q128" s="4">
        <f>ROUND($C128+MIN($D128:$E128)*(1-SUMIFS(PrefFlows!$C:$C,PrefFlows!$A:$A,INDEX($D$1:$E$1,MATCH(MIN($D128:$E128),$D128:$E128,0)),PrefFlows!$B:$B,$B128)),2)</f>
        <v>58.18</v>
      </c>
      <c r="R128" s="5">
        <f>ROUND(MAX($D128:$E128)+MIN($D128:$E128)*SUMIFS(PrefFlows!$C:$C,PrefFlows!$A:$A,INDEX($D$1:$E$1,MATCH(MIN($D128:$E128),$D128:$E128,0)),PrefFlows!$B:$B,$B128),2)</f>
        <v>31.15</v>
      </c>
      <c r="S128" s="5">
        <f t="shared" si="34"/>
        <v>0</v>
      </c>
      <c r="T128" s="5">
        <f t="shared" si="35"/>
        <v>4.5599999999999996</v>
      </c>
      <c r="U128" s="3">
        <f t="shared" si="36"/>
        <v>6.11</v>
      </c>
      <c r="V128" s="6">
        <f t="shared" si="37"/>
        <v>-27.03</v>
      </c>
      <c r="W128" s="4">
        <f>ROUND($S128*SUMIFS(PrefFlows!$C:$C,PrefFlows!$A:$A,$S$1,PrefFlows!$B:$B,$B128)+$T128*SUMIFS(PrefFlows!$C:$C,PrefFlows!$A:$A,$T$1,PrefFlows!$B:$B,$B128)+$U128*SUMIFS(PrefFlows!$C:$C,PrefFlows!$A:$A,$U$1,PrefFlows!$B:$B,$B128),2)</f>
        <v>4.1100000000000003</v>
      </c>
      <c r="X128" s="3">
        <f>ROUND($S128*(1-SUMIFS(PrefFlows!$C:$C,PrefFlows!$A:$A,$S$1,PrefFlows!$B:$B,$B128))+$T128*(1-SUMIFS(PrefFlows!$C:$C,PrefFlows!$A:$A,$T$1,PrefFlows!$B:$B,$B128))+$U128*(1-SUMIFS(PrefFlows!$C:$C,PrefFlows!$A:$A,$U$1,PrefFlows!$B:$B,$B128)),2)</f>
        <v>6.56</v>
      </c>
      <c r="Y128" s="4">
        <f t="shared" si="38"/>
        <v>5.39</v>
      </c>
      <c r="Z128" s="3">
        <f t="shared" si="39"/>
        <v>5.28</v>
      </c>
      <c r="AA128" s="4">
        <f t="shared" si="40"/>
        <v>0.38519999999999999</v>
      </c>
      <c r="AB128" s="5">
        <f t="shared" si="41"/>
        <v>0.50519999999999998</v>
      </c>
      <c r="AC128" s="5">
        <f t="shared" si="42"/>
        <v>0.12</v>
      </c>
      <c r="AD128" s="3">
        <v>9.8158297566376201E-2</v>
      </c>
      <c r="AE128" s="4">
        <f>ROUND(S128*(1-(Exhaust!$B$2+AD128)),2)</f>
        <v>0</v>
      </c>
      <c r="AF128" s="5">
        <f>ROUND(T128*(1-(Exhaust!$B$3+$AD128)),2)</f>
        <v>2.29</v>
      </c>
      <c r="AG128" s="3">
        <f>ROUND(U128*(1-(Exhaust!$B$4+$AD128)),2)</f>
        <v>2.46</v>
      </c>
      <c r="AH128" s="4">
        <f>ROUND($AE128*(SUMIFS(PrefFlows!$C:$C,PrefFlows!$A:$A,$S$1,PrefFlows!$B:$B,$B128)+$AC128)+$AF128*(SUMIFS(PrefFlows!$C:$C,PrefFlows!$A:$A,$T$1,PrefFlows!$B:$B,$B128)+$AC128)+$AG128*(SUMIFS(PrefFlows!$C:$C,PrefFlows!$A:$A,$U$1,PrefFlows!$B:$B,$B128)+$AC128),2)</f>
        <v>2.31</v>
      </c>
      <c r="AI128" s="3">
        <f>ROUND($AE128*(1-(SUMIFS(PrefFlows!$C:$C,PrefFlows!$A:$A,$S$1,PrefFlows!$B:$B,$B128)+$AC128))+$AF128*(1-(SUMIFS(PrefFlows!$C:$C,PrefFlows!$A:$A,$T$1,PrefFlows!$B:$B,$B128)+$AC128))+$AG128*(1-(SUMIFS(PrefFlows!$C:$C,PrefFlows!$A:$A,$U$1,PrefFlows!$B:$B,$B128)+$AC128)),2)</f>
        <v>2.44</v>
      </c>
      <c r="AJ128" s="4">
        <f t="shared" si="43"/>
        <v>33.46</v>
      </c>
      <c r="AK128" s="3">
        <f t="shared" si="44"/>
        <v>60.62</v>
      </c>
      <c r="AL128" s="4">
        <f t="shared" si="45"/>
        <v>35.57</v>
      </c>
      <c r="AM128" s="3">
        <f t="shared" si="45"/>
        <v>64.430000000000007</v>
      </c>
      <c r="AN128" s="1">
        <f t="shared" si="50"/>
        <v>-13.46</v>
      </c>
      <c r="AO128" s="1">
        <f t="shared" si="51"/>
        <v>-14.21</v>
      </c>
      <c r="AP128" s="3">
        <f t="shared" si="52"/>
        <v>-14.43</v>
      </c>
      <c r="AQ128" s="1" t="b">
        <f t="shared" si="46"/>
        <v>0</v>
      </c>
      <c r="AR128" s="1" t="b">
        <f t="shared" si="46"/>
        <v>0</v>
      </c>
      <c r="AS128" s="3" t="b">
        <f t="shared" si="47"/>
        <v>0</v>
      </c>
      <c r="AT128" s="1">
        <f t="shared" si="48"/>
        <v>-0.75</v>
      </c>
      <c r="AU128" s="1">
        <f t="shared" si="48"/>
        <v>-0.96999999999999886</v>
      </c>
      <c r="AV128" s="3">
        <f t="shared" si="49"/>
        <v>0.21999999999999886</v>
      </c>
      <c r="AW128" s="1">
        <f>ROUND(IF($B128="NSW",N128*Meta!$B$6,N128),1)</f>
        <v>4367.7</v>
      </c>
      <c r="AX128" s="3">
        <f t="shared" si="53"/>
        <v>78201.8</v>
      </c>
    </row>
    <row r="129" spans="1:50" x14ac:dyDescent="0.55000000000000004">
      <c r="A129" s="2" t="s">
        <v>140</v>
      </c>
      <c r="B129" s="3" t="s">
        <v>22</v>
      </c>
      <c r="C129" s="4">
        <v>56.01</v>
      </c>
      <c r="D129" s="5">
        <v>34.090000000000003</v>
      </c>
      <c r="E129" s="5">
        <v>0</v>
      </c>
      <c r="F129" s="5">
        <v>3.53</v>
      </c>
      <c r="G129" s="5">
        <v>0</v>
      </c>
      <c r="H129" s="5">
        <v>4.71</v>
      </c>
      <c r="I129" s="5">
        <v>1.66</v>
      </c>
      <c r="J129" s="3">
        <f t="shared" si="31"/>
        <v>5.19</v>
      </c>
      <c r="K129" s="4">
        <v>38.26</v>
      </c>
      <c r="L129" s="3">
        <v>61.74</v>
      </c>
      <c r="M129" s="4">
        <v>83847</v>
      </c>
      <c r="N129" s="5">
        <v>3764</v>
      </c>
      <c r="O129" s="3">
        <f t="shared" si="32"/>
        <v>80083</v>
      </c>
      <c r="P129" s="5">
        <f t="shared" si="33"/>
        <v>4.4891290087898196E-2</v>
      </c>
      <c r="Q129" s="4">
        <f>ROUND($C129+MIN($D129:$E129)*(1-SUMIFS(PrefFlows!$C:$C,PrefFlows!$A:$A,INDEX($D$1:$E$1,MATCH(MIN($D129:$E129),$D129:$E129,0)),PrefFlows!$B:$B,$B129)),2)</f>
        <v>56.01</v>
      </c>
      <c r="R129" s="5">
        <f>ROUND(MAX($D129:$E129)+MIN($D129:$E129)*SUMIFS(PrefFlows!$C:$C,PrefFlows!$A:$A,INDEX($D$1:$E$1,MATCH(MIN($D129:$E129),$D129:$E129,0)),PrefFlows!$B:$B,$B129),2)</f>
        <v>34.090000000000003</v>
      </c>
      <c r="S129" s="5">
        <f t="shared" si="34"/>
        <v>0</v>
      </c>
      <c r="T129" s="5">
        <f t="shared" si="35"/>
        <v>4.71</v>
      </c>
      <c r="U129" s="3">
        <f t="shared" si="36"/>
        <v>5.19</v>
      </c>
      <c r="V129" s="6">
        <f t="shared" si="37"/>
        <v>-21.92</v>
      </c>
      <c r="W129" s="4">
        <f>ROUND($S129*SUMIFS(PrefFlows!$C:$C,PrefFlows!$A:$A,$S$1,PrefFlows!$B:$B,$B129)+$T129*SUMIFS(PrefFlows!$C:$C,PrefFlows!$A:$A,$T$1,PrefFlows!$B:$B,$B129)+$U129*SUMIFS(PrefFlows!$C:$C,PrefFlows!$A:$A,$U$1,PrefFlows!$B:$B,$B129),2)</f>
        <v>3.8</v>
      </c>
      <c r="X129" s="3">
        <f>ROUND($S129*(1-SUMIFS(PrefFlows!$C:$C,PrefFlows!$A:$A,$S$1,PrefFlows!$B:$B,$B129))+$T129*(1-SUMIFS(PrefFlows!$C:$C,PrefFlows!$A:$A,$T$1,PrefFlows!$B:$B,$B129))+$U129*(1-SUMIFS(PrefFlows!$C:$C,PrefFlows!$A:$A,$U$1,PrefFlows!$B:$B,$B129)),2)</f>
        <v>6.1</v>
      </c>
      <c r="Y129" s="4">
        <f t="shared" si="38"/>
        <v>4.17</v>
      </c>
      <c r="Z129" s="3">
        <f t="shared" si="39"/>
        <v>5.73</v>
      </c>
      <c r="AA129" s="4">
        <f t="shared" si="40"/>
        <v>0.38379999999999997</v>
      </c>
      <c r="AB129" s="5">
        <f t="shared" si="41"/>
        <v>0.42120000000000002</v>
      </c>
      <c r="AC129" s="5">
        <f t="shared" si="42"/>
        <v>3.7400000000000003E-2</v>
      </c>
      <c r="AD129" s="3">
        <v>7.5519898749639006E-2</v>
      </c>
      <c r="AE129" s="4">
        <f>ROUND(S129*(1-(Exhaust!$B$2+AD129)),2)</f>
        <v>0</v>
      </c>
      <c r="AF129" s="5">
        <f>ROUND(T129*(1-(Exhaust!$B$3+$AD129)),2)</f>
        <v>2.4700000000000002</v>
      </c>
      <c r="AG129" s="3">
        <f>ROUND(U129*(1-(Exhaust!$B$4+$AD129)),2)</f>
        <v>2.2000000000000002</v>
      </c>
      <c r="AH129" s="4">
        <f>ROUND($AE129*(SUMIFS(PrefFlows!$C:$C,PrefFlows!$A:$A,$S$1,PrefFlows!$B:$B,$B129)+$AC129)+$AF129*(SUMIFS(PrefFlows!$C:$C,PrefFlows!$A:$A,$T$1,PrefFlows!$B:$B,$B129)+$AC129)+$AG129*(SUMIFS(PrefFlows!$C:$C,PrefFlows!$A:$A,$U$1,PrefFlows!$B:$B,$B129)+$AC129),2)</f>
        <v>1.9</v>
      </c>
      <c r="AI129" s="3">
        <f>ROUND($AE129*(1-(SUMIFS(PrefFlows!$C:$C,PrefFlows!$A:$A,$S$1,PrefFlows!$B:$B,$B129)+$AC129))+$AF129*(1-(SUMIFS(PrefFlows!$C:$C,PrefFlows!$A:$A,$T$1,PrefFlows!$B:$B,$B129)+$AC129))+$AG129*(1-(SUMIFS(PrefFlows!$C:$C,PrefFlows!$A:$A,$U$1,PrefFlows!$B:$B,$B129)+$AC129)),2)</f>
        <v>2.77</v>
      </c>
      <c r="AJ129" s="4">
        <f t="shared" si="43"/>
        <v>35.99</v>
      </c>
      <c r="AK129" s="3">
        <f t="shared" si="44"/>
        <v>58.78</v>
      </c>
      <c r="AL129" s="4">
        <f t="shared" si="45"/>
        <v>37.979999999999997</v>
      </c>
      <c r="AM129" s="3">
        <f t="shared" si="45"/>
        <v>62.02</v>
      </c>
      <c r="AN129" s="1">
        <f t="shared" si="50"/>
        <v>-11.74</v>
      </c>
      <c r="AO129" s="1">
        <f t="shared" si="51"/>
        <v>-11.93</v>
      </c>
      <c r="AP129" s="3">
        <f t="shared" si="52"/>
        <v>-12.02</v>
      </c>
      <c r="AQ129" s="1" t="b">
        <f t="shared" si="46"/>
        <v>0</v>
      </c>
      <c r="AR129" s="1" t="b">
        <f t="shared" si="46"/>
        <v>0</v>
      </c>
      <c r="AS129" s="3" t="b">
        <f t="shared" si="47"/>
        <v>0</v>
      </c>
      <c r="AT129" s="1">
        <f t="shared" si="48"/>
        <v>-0.1899999999999995</v>
      </c>
      <c r="AU129" s="1">
        <f t="shared" si="48"/>
        <v>-0.27999999999999936</v>
      </c>
      <c r="AV129" s="3">
        <f t="shared" si="49"/>
        <v>8.9999999999999858E-2</v>
      </c>
      <c r="AW129" s="1">
        <f>ROUND(IF($B129="NSW",N129*Meta!$B$6,N129),1)</f>
        <v>3764</v>
      </c>
      <c r="AX129" s="3">
        <f t="shared" si="53"/>
        <v>77154.3</v>
      </c>
    </row>
    <row r="130" spans="1:50" x14ac:dyDescent="0.55000000000000004">
      <c r="A130" s="2" t="s">
        <v>141</v>
      </c>
      <c r="B130" s="3" t="s">
        <v>12</v>
      </c>
      <c r="C130" s="4">
        <v>60.1</v>
      </c>
      <c r="D130" s="5">
        <v>27.09</v>
      </c>
      <c r="E130" s="5">
        <v>0</v>
      </c>
      <c r="F130" s="5">
        <v>1.64</v>
      </c>
      <c r="G130" s="5">
        <v>0</v>
      </c>
      <c r="H130" s="5">
        <v>5.24</v>
      </c>
      <c r="I130" s="5">
        <v>5.93</v>
      </c>
      <c r="J130" s="3">
        <f t="shared" si="31"/>
        <v>7.57</v>
      </c>
      <c r="K130" s="4">
        <v>33.200000000000003</v>
      </c>
      <c r="L130" s="3">
        <v>66.8</v>
      </c>
      <c r="M130" s="4">
        <v>85946</v>
      </c>
      <c r="N130" s="5">
        <v>6508</v>
      </c>
      <c r="O130" s="3">
        <f t="shared" si="32"/>
        <v>79438</v>
      </c>
      <c r="P130" s="5">
        <f t="shared" si="33"/>
        <v>7.5721964954739027E-2</v>
      </c>
      <c r="Q130" s="4">
        <f>ROUND($C130+MIN($D130:$E130)*(1-SUMIFS(PrefFlows!$C:$C,PrefFlows!$A:$A,INDEX($D$1:$E$1,MATCH(MIN($D130:$E130),$D130:$E130,0)),PrefFlows!$B:$B,$B130)),2)</f>
        <v>60.1</v>
      </c>
      <c r="R130" s="5">
        <f>ROUND(MAX($D130:$E130)+MIN($D130:$E130)*SUMIFS(PrefFlows!$C:$C,PrefFlows!$A:$A,INDEX($D$1:$E$1,MATCH(MIN($D130:$E130),$D130:$E130,0)),PrefFlows!$B:$B,$B130),2)</f>
        <v>27.09</v>
      </c>
      <c r="S130" s="5">
        <f t="shared" si="34"/>
        <v>0</v>
      </c>
      <c r="T130" s="5">
        <f t="shared" si="35"/>
        <v>5.24</v>
      </c>
      <c r="U130" s="3">
        <f t="shared" si="36"/>
        <v>7.57</v>
      </c>
      <c r="V130" s="6">
        <f t="shared" si="37"/>
        <v>-33.01</v>
      </c>
      <c r="W130" s="4">
        <f>ROUND($S130*SUMIFS(PrefFlows!$C:$C,PrefFlows!$A:$A,$S$1,PrefFlows!$B:$B,$B130)+$T130*SUMIFS(PrefFlows!$C:$C,PrefFlows!$A:$A,$T$1,PrefFlows!$B:$B,$B130)+$U130*SUMIFS(PrefFlows!$C:$C,PrefFlows!$A:$A,$U$1,PrefFlows!$B:$B,$B130),2)</f>
        <v>5.01</v>
      </c>
      <c r="X130" s="3">
        <f>ROUND($S130*(1-SUMIFS(PrefFlows!$C:$C,PrefFlows!$A:$A,$S$1,PrefFlows!$B:$B,$B130))+$T130*(1-SUMIFS(PrefFlows!$C:$C,PrefFlows!$A:$A,$T$1,PrefFlows!$B:$B,$B130))+$U130*(1-SUMIFS(PrefFlows!$C:$C,PrefFlows!$A:$A,$U$1,PrefFlows!$B:$B,$B130)),2)</f>
        <v>7.8</v>
      </c>
      <c r="Y130" s="4">
        <f t="shared" si="38"/>
        <v>6.11</v>
      </c>
      <c r="Z130" s="3">
        <f t="shared" si="39"/>
        <v>6.7</v>
      </c>
      <c r="AA130" s="4">
        <f t="shared" si="40"/>
        <v>0.3911</v>
      </c>
      <c r="AB130" s="5">
        <f t="shared" si="41"/>
        <v>0.47699999999999998</v>
      </c>
      <c r="AC130" s="5">
        <f t="shared" si="42"/>
        <v>8.5900000000000004E-2</v>
      </c>
      <c r="AD130" s="3">
        <v>9.3648280599188297E-2</v>
      </c>
      <c r="AE130" s="4">
        <f>ROUND(S130*(1-(Exhaust!$B$2+AD130)),2)</f>
        <v>0</v>
      </c>
      <c r="AF130" s="5">
        <f>ROUND(T130*(1-(Exhaust!$B$3+$AD130)),2)</f>
        <v>2.65</v>
      </c>
      <c r="AG130" s="3">
        <f>ROUND(U130*(1-(Exhaust!$B$4+$AD130)),2)</f>
        <v>3.08</v>
      </c>
      <c r="AH130" s="4">
        <f>ROUND($AE130*(SUMIFS(PrefFlows!$C:$C,PrefFlows!$A:$A,$S$1,PrefFlows!$B:$B,$B130)+$AC130)+$AF130*(SUMIFS(PrefFlows!$C:$C,PrefFlows!$A:$A,$T$1,PrefFlows!$B:$B,$B130)+$AC130)+$AG130*(SUMIFS(PrefFlows!$C:$C,PrefFlows!$A:$A,$U$1,PrefFlows!$B:$B,$B130)+$AC130),2)</f>
        <v>2.63</v>
      </c>
      <c r="AI130" s="3">
        <f>ROUND($AE130*(1-(SUMIFS(PrefFlows!$C:$C,PrefFlows!$A:$A,$S$1,PrefFlows!$B:$B,$B130)+$AC130))+$AF130*(1-(SUMIFS(PrefFlows!$C:$C,PrefFlows!$A:$A,$T$1,PrefFlows!$B:$B,$B130)+$AC130))+$AG130*(1-(SUMIFS(PrefFlows!$C:$C,PrefFlows!$A:$A,$U$1,PrefFlows!$B:$B,$B130)+$AC130)),2)</f>
        <v>3.1</v>
      </c>
      <c r="AJ130" s="4">
        <f t="shared" si="43"/>
        <v>29.72</v>
      </c>
      <c r="AK130" s="3">
        <f t="shared" si="44"/>
        <v>63.2</v>
      </c>
      <c r="AL130" s="4">
        <f t="shared" si="45"/>
        <v>31.98</v>
      </c>
      <c r="AM130" s="3">
        <f t="shared" si="45"/>
        <v>68.02</v>
      </c>
      <c r="AN130" s="1">
        <f t="shared" ref="AN130:AN151" si="54">ROUND(K130-50,2)</f>
        <v>-16.8</v>
      </c>
      <c r="AO130" s="1">
        <f t="shared" ref="AO130:AO151" si="55">ROUND((R130+Y130*0.52)/((R130+Y130*0.52)+(Q130+Z130*0.52))*100-50,2)</f>
        <v>-17.75</v>
      </c>
      <c r="AP130" s="3">
        <f t="shared" ref="AP130:AP151" si="56">ROUND(AL130-50,2)</f>
        <v>-18.02</v>
      </c>
      <c r="AQ130" s="1" t="b">
        <f t="shared" si="46"/>
        <v>0</v>
      </c>
      <c r="AR130" s="1" t="b">
        <f t="shared" si="46"/>
        <v>0</v>
      </c>
      <c r="AS130" s="3" t="b">
        <f t="shared" si="47"/>
        <v>0</v>
      </c>
      <c r="AT130" s="1">
        <f t="shared" si="48"/>
        <v>-0.94999999999999929</v>
      </c>
      <c r="AU130" s="1">
        <f t="shared" si="48"/>
        <v>-1.2199999999999989</v>
      </c>
      <c r="AV130" s="3">
        <f t="shared" si="49"/>
        <v>0.26999999999999957</v>
      </c>
      <c r="AW130" s="1">
        <f>ROUND(IF($B130="NSW",N130*Meta!$B$6,N130),1)</f>
        <v>4275.8</v>
      </c>
      <c r="AX130" s="3">
        <f t="shared" ref="AX130:AX161" si="57">ROUND((M130-AW130*($AW$153/$AW$152))*SUM($AJ130:$AK130)/100,1)</f>
        <v>77290.899999999994</v>
      </c>
    </row>
    <row r="131" spans="1:50" x14ac:dyDescent="0.55000000000000004">
      <c r="A131" s="2" t="s">
        <v>142</v>
      </c>
      <c r="B131" s="3" t="s">
        <v>12</v>
      </c>
      <c r="C131" s="4">
        <v>43.81</v>
      </c>
      <c r="D131" s="5">
        <v>0</v>
      </c>
      <c r="E131" s="5">
        <v>36.979999999999997</v>
      </c>
      <c r="F131" s="5">
        <v>0</v>
      </c>
      <c r="G131" s="5">
        <v>0</v>
      </c>
      <c r="H131" s="5">
        <v>14.93</v>
      </c>
      <c r="I131" s="5">
        <v>4.28</v>
      </c>
      <c r="J131" s="3">
        <f t="shared" ref="J131:J151" si="58">ROUND(F131+I131-G131,2)</f>
        <v>4.28</v>
      </c>
      <c r="K131" s="4">
        <v>41.13</v>
      </c>
      <c r="L131" s="3">
        <v>58.87</v>
      </c>
      <c r="M131" s="4">
        <v>85133</v>
      </c>
      <c r="N131" s="5">
        <v>3647</v>
      </c>
      <c r="O131" s="3">
        <f t="shared" ref="O131:O151" si="59">ROUND(M131-N131,0)</f>
        <v>81486</v>
      </c>
      <c r="P131" s="5">
        <f t="shared" ref="P131:P151" si="60">N131/M131</f>
        <v>4.28388521489904E-2</v>
      </c>
      <c r="Q131" s="4">
        <f>ROUND($C131+MIN($D131:$E131)*(1-SUMIFS(PrefFlows!$C:$C,PrefFlows!$A:$A,INDEX($D$1:$E$1,MATCH(MIN($D131:$E131),$D131:$E131,0)),PrefFlows!$B:$B,$B131)),2)</f>
        <v>43.81</v>
      </c>
      <c r="R131" s="5">
        <f>ROUND(MAX($D131:$E131)+MIN($D131:$E131)*SUMIFS(PrefFlows!$C:$C,PrefFlows!$A:$A,INDEX($D$1:$E$1,MATCH(MIN($D131:$E131),$D131:$E131,0)),PrefFlows!$B:$B,$B131),2)</f>
        <v>36.979999999999997</v>
      </c>
      <c r="S131" s="5">
        <f t="shared" ref="S131:S151" si="61">ROUND(G131,2)</f>
        <v>0</v>
      </c>
      <c r="T131" s="5">
        <f t="shared" ref="T131:T151" si="62">ROUND(H131,2)</f>
        <v>14.93</v>
      </c>
      <c r="U131" s="3">
        <f t="shared" ref="U131:U151" si="63">ROUND(J131,2)</f>
        <v>4.28</v>
      </c>
      <c r="V131" s="6">
        <f t="shared" ref="V131:V151" si="64">ROUND(R131-Q131,2)</f>
        <v>-6.83</v>
      </c>
      <c r="W131" s="4">
        <f>ROUND($S131*SUMIFS(PrefFlows!$C:$C,PrefFlows!$A:$A,$S$1,PrefFlows!$B:$B,$B131)+$T131*SUMIFS(PrefFlows!$C:$C,PrefFlows!$A:$A,$T$1,PrefFlows!$B:$B,$B131)+$U131*SUMIFS(PrefFlows!$C:$C,PrefFlows!$A:$A,$U$1,PrefFlows!$B:$B,$B131),2)</f>
        <v>5.13</v>
      </c>
      <c r="X131" s="3">
        <f>ROUND($S131*(1-SUMIFS(PrefFlows!$C:$C,PrefFlows!$A:$A,$S$1,PrefFlows!$B:$B,$B131))+$T131*(1-SUMIFS(PrefFlows!$C:$C,PrefFlows!$A:$A,$T$1,PrefFlows!$B:$B,$B131))+$U131*(1-SUMIFS(PrefFlows!$C:$C,PrefFlows!$A:$A,$U$1,PrefFlows!$B:$B,$B131)),2)</f>
        <v>14.08</v>
      </c>
      <c r="Y131" s="4">
        <f t="shared" ref="Y131:Y151" si="65">ROUND(K131-R131,2)</f>
        <v>4.1500000000000004</v>
      </c>
      <c r="Z131" s="3">
        <f t="shared" ref="Z131:Z151" si="66">ROUND(L131-Q131,2)</f>
        <v>15.06</v>
      </c>
      <c r="AA131" s="4">
        <f t="shared" ref="AA131:AA151" si="67">ROUND(W131/SUM(W131:X131),4)</f>
        <v>0.26700000000000002</v>
      </c>
      <c r="AB131" s="5">
        <f t="shared" ref="AB131:AB151" si="68">ROUND(Y131/SUM(Y131:Z131),4)</f>
        <v>0.216</v>
      </c>
      <c r="AC131" s="5">
        <f t="shared" ref="AC131:AC151" si="69">ROUND(AB131-AA131,4)</f>
        <v>-5.0999999999999997E-2</v>
      </c>
      <c r="AD131" s="3">
        <v>1.9927853137183801E-2</v>
      </c>
      <c r="AE131" s="4">
        <f>ROUND(S131*(1-(Exhaust!$B$2+AD131)),2)</f>
        <v>0</v>
      </c>
      <c r="AF131" s="5">
        <f>ROUND(T131*(1-(Exhaust!$B$3+$AD131)),2)</f>
        <v>8.66</v>
      </c>
      <c r="AG131" s="3">
        <f>ROUND(U131*(1-(Exhaust!$B$4+$AD131)),2)</f>
        <v>2.0499999999999998</v>
      </c>
      <c r="AH131" s="4">
        <f>ROUND($AE131*(SUMIFS(PrefFlows!$C:$C,PrefFlows!$A:$A,$S$1,PrefFlows!$B:$B,$B131)+$AC131)+$AF131*(SUMIFS(PrefFlows!$C:$C,PrefFlows!$A:$A,$T$1,PrefFlows!$B:$B,$B131)+$AC131)+$AG131*(SUMIFS(PrefFlows!$C:$C,PrefFlows!$A:$A,$U$1,PrefFlows!$B:$B,$B131)+$AC131),2)</f>
        <v>2.2000000000000002</v>
      </c>
      <c r="AI131" s="3">
        <f>ROUND($AE131*(1-(SUMIFS(PrefFlows!$C:$C,PrefFlows!$A:$A,$S$1,PrefFlows!$B:$B,$B131)+$AC131))+$AF131*(1-(SUMIFS(PrefFlows!$C:$C,PrefFlows!$A:$A,$T$1,PrefFlows!$B:$B,$B131)+$AC131))+$AG131*(1-(SUMIFS(PrefFlows!$C:$C,PrefFlows!$A:$A,$U$1,PrefFlows!$B:$B,$B131)+$AC131)),2)</f>
        <v>8.51</v>
      </c>
      <c r="AJ131" s="4">
        <f t="shared" ref="AJ131:AJ151" si="70">ROUND(R131+AH131,2)</f>
        <v>39.18</v>
      </c>
      <c r="AK131" s="3">
        <f t="shared" ref="AK131:AK151" si="71">ROUND(Q131+AI131,2)</f>
        <v>52.32</v>
      </c>
      <c r="AL131" s="4">
        <f t="shared" ref="AL131:AM151" si="72">ROUND(AJ131/SUM($AJ131:$AK131)*100,2)</f>
        <v>42.82</v>
      </c>
      <c r="AM131" s="3">
        <f t="shared" si="72"/>
        <v>57.18</v>
      </c>
      <c r="AN131" s="1">
        <f t="shared" si="54"/>
        <v>-8.8699999999999992</v>
      </c>
      <c r="AO131" s="1">
        <f t="shared" si="55"/>
        <v>-6.89</v>
      </c>
      <c r="AP131" s="3">
        <f t="shared" si="56"/>
        <v>-7.18</v>
      </c>
      <c r="AQ131" s="1" t="b">
        <f t="shared" ref="AQ131:AR151" si="73">$AN131/AO131&lt;0</f>
        <v>0</v>
      </c>
      <c r="AR131" s="1" t="b">
        <f t="shared" si="73"/>
        <v>0</v>
      </c>
      <c r="AS131" s="3" t="b">
        <f t="shared" ref="AS131:AS151" si="74">AO131/AP131&lt;0</f>
        <v>0</v>
      </c>
      <c r="AT131" s="1">
        <f t="shared" ref="AT131:AU151" si="75">(AO131-$AN131)</f>
        <v>1.9799999999999995</v>
      </c>
      <c r="AU131" s="1">
        <f t="shared" si="75"/>
        <v>1.6899999999999995</v>
      </c>
      <c r="AV131" s="3">
        <f t="shared" ref="AV131:AV151" si="76">ABS(AP131-$AO131)</f>
        <v>0.29000000000000004</v>
      </c>
      <c r="AW131" s="1">
        <f>ROUND(IF($B131="NSW",N131*Meta!$B$6,N131),1)</f>
        <v>2396.1</v>
      </c>
      <c r="AX131" s="3">
        <f t="shared" si="57"/>
        <v>76478.5</v>
      </c>
    </row>
    <row r="132" spans="1:50" x14ac:dyDescent="0.55000000000000004">
      <c r="A132" s="2" t="s">
        <v>143</v>
      </c>
      <c r="B132" s="3" t="s">
        <v>12</v>
      </c>
      <c r="C132" s="4">
        <v>29.01</v>
      </c>
      <c r="D132" s="5">
        <v>0</v>
      </c>
      <c r="E132" s="5">
        <v>62.57</v>
      </c>
      <c r="F132" s="5">
        <v>0</v>
      </c>
      <c r="G132" s="5">
        <v>2.1800000000000002</v>
      </c>
      <c r="H132" s="5">
        <v>4.9000000000000004</v>
      </c>
      <c r="I132" s="5">
        <v>3.52</v>
      </c>
      <c r="J132" s="3">
        <f t="shared" si="58"/>
        <v>1.34</v>
      </c>
      <c r="K132" s="4">
        <v>66.23</v>
      </c>
      <c r="L132" s="3">
        <v>33.770000000000003</v>
      </c>
      <c r="M132" s="4">
        <v>87719</v>
      </c>
      <c r="N132" s="5">
        <v>3361</v>
      </c>
      <c r="O132" s="3">
        <f t="shared" si="59"/>
        <v>84358</v>
      </c>
      <c r="P132" s="5">
        <f t="shared" si="60"/>
        <v>3.8315530272802927E-2</v>
      </c>
      <c r="Q132" s="4">
        <f>ROUND($C132+MIN($D132:$E132)*(1-SUMIFS(PrefFlows!$C:$C,PrefFlows!$A:$A,INDEX($D$1:$E$1,MATCH(MIN($D132:$E132),$D132:$E132,0)),PrefFlows!$B:$B,$B132)),2)</f>
        <v>29.01</v>
      </c>
      <c r="R132" s="5">
        <f>ROUND(MAX($D132:$E132)+MIN($D132:$E132)*SUMIFS(PrefFlows!$C:$C,PrefFlows!$A:$A,INDEX($D$1:$E$1,MATCH(MIN($D132:$E132),$D132:$E132,0)),PrefFlows!$B:$B,$B132),2)</f>
        <v>62.57</v>
      </c>
      <c r="S132" s="5">
        <f t="shared" si="61"/>
        <v>2.1800000000000002</v>
      </c>
      <c r="T132" s="5">
        <f t="shared" si="62"/>
        <v>4.9000000000000004</v>
      </c>
      <c r="U132" s="3">
        <f t="shared" si="63"/>
        <v>1.34</v>
      </c>
      <c r="V132" s="6">
        <f t="shared" si="64"/>
        <v>33.56</v>
      </c>
      <c r="W132" s="4">
        <f>ROUND($S132*SUMIFS(PrefFlows!$C:$C,PrefFlows!$A:$A,$S$1,PrefFlows!$B:$B,$B132)+$T132*SUMIFS(PrefFlows!$C:$C,PrefFlows!$A:$A,$T$1,PrefFlows!$B:$B,$B132)+$U132*SUMIFS(PrefFlows!$C:$C,PrefFlows!$A:$A,$U$1,PrefFlows!$B:$B,$B132),2)</f>
        <v>2.92</v>
      </c>
      <c r="X132" s="3">
        <f>ROUND($S132*(1-SUMIFS(PrefFlows!$C:$C,PrefFlows!$A:$A,$S$1,PrefFlows!$B:$B,$B132))+$T132*(1-SUMIFS(PrefFlows!$C:$C,PrefFlows!$A:$A,$T$1,PrefFlows!$B:$B,$B132))+$U132*(1-SUMIFS(PrefFlows!$C:$C,PrefFlows!$A:$A,$U$1,PrefFlows!$B:$B,$B132)),2)</f>
        <v>5.5</v>
      </c>
      <c r="Y132" s="4">
        <f t="shared" si="65"/>
        <v>3.66</v>
      </c>
      <c r="Z132" s="3">
        <f t="shared" si="66"/>
        <v>4.76</v>
      </c>
      <c r="AA132" s="4">
        <f t="shared" si="67"/>
        <v>0.3468</v>
      </c>
      <c r="AB132" s="5">
        <f t="shared" si="68"/>
        <v>0.43469999999999998</v>
      </c>
      <c r="AC132" s="5">
        <f t="shared" si="69"/>
        <v>8.7900000000000006E-2</v>
      </c>
      <c r="AD132" s="3">
        <v>3.90934175433739E-2</v>
      </c>
      <c r="AE132" s="4">
        <f>ROUND(S132*(1-(Exhaust!$B$2+AD132)),2)</f>
        <v>0.87</v>
      </c>
      <c r="AF132" s="5">
        <f>ROUND(T132*(1-(Exhaust!$B$3+$AD132)),2)</f>
        <v>2.75</v>
      </c>
      <c r="AG132" s="3">
        <f>ROUND(U132*(1-(Exhaust!$B$4+$AD132)),2)</f>
        <v>0.62</v>
      </c>
      <c r="AH132" s="4">
        <f>ROUND($AE132*(SUMIFS(PrefFlows!$C:$C,PrefFlows!$A:$A,$S$1,PrefFlows!$B:$B,$B132)+$AC132)+$AF132*(SUMIFS(PrefFlows!$C:$C,PrefFlows!$A:$A,$T$1,PrefFlows!$B:$B,$B132)+$AC132)+$AG132*(SUMIFS(PrefFlows!$C:$C,PrefFlows!$A:$A,$U$1,PrefFlows!$B:$B,$B132)+$AC132),2)</f>
        <v>1.74</v>
      </c>
      <c r="AI132" s="3">
        <f>ROUND($AE132*(1-(SUMIFS(PrefFlows!$C:$C,PrefFlows!$A:$A,$S$1,PrefFlows!$B:$B,$B132)+$AC132))+$AF132*(1-(SUMIFS(PrefFlows!$C:$C,PrefFlows!$A:$A,$T$1,PrefFlows!$B:$B,$B132)+$AC132))+$AG132*(1-(SUMIFS(PrefFlows!$C:$C,PrefFlows!$A:$A,$U$1,PrefFlows!$B:$B,$B132)+$AC132)),2)</f>
        <v>2.5</v>
      </c>
      <c r="AJ132" s="4">
        <f t="shared" si="70"/>
        <v>64.31</v>
      </c>
      <c r="AK132" s="3">
        <f t="shared" si="71"/>
        <v>31.51</v>
      </c>
      <c r="AL132" s="4">
        <f t="shared" si="72"/>
        <v>67.12</v>
      </c>
      <c r="AM132" s="3">
        <f t="shared" si="72"/>
        <v>32.880000000000003</v>
      </c>
      <c r="AN132" s="1">
        <f t="shared" si="54"/>
        <v>16.23</v>
      </c>
      <c r="AO132" s="1">
        <f t="shared" si="55"/>
        <v>17.190000000000001</v>
      </c>
      <c r="AP132" s="3">
        <f t="shared" si="56"/>
        <v>17.12</v>
      </c>
      <c r="AQ132" s="1" t="b">
        <f t="shared" si="73"/>
        <v>0</v>
      </c>
      <c r="AR132" s="1" t="b">
        <f t="shared" si="73"/>
        <v>0</v>
      </c>
      <c r="AS132" s="3" t="b">
        <f t="shared" si="74"/>
        <v>0</v>
      </c>
      <c r="AT132" s="1">
        <f t="shared" si="75"/>
        <v>0.96000000000000085</v>
      </c>
      <c r="AU132" s="1">
        <f t="shared" si="75"/>
        <v>0.89000000000000057</v>
      </c>
      <c r="AV132" s="3">
        <f t="shared" si="76"/>
        <v>7.0000000000000284E-2</v>
      </c>
      <c r="AW132" s="1">
        <f>ROUND(IF($B132="NSW",N132*Meta!$B$6,N132),1)</f>
        <v>2208.1999999999998</v>
      </c>
      <c r="AX132" s="3">
        <f t="shared" si="57"/>
        <v>82683.600000000006</v>
      </c>
    </row>
    <row r="133" spans="1:50" x14ac:dyDescent="0.55000000000000004">
      <c r="A133" s="2" t="s">
        <v>144</v>
      </c>
      <c r="B133" s="3" t="s">
        <v>12</v>
      </c>
      <c r="C133" s="4">
        <v>42.93</v>
      </c>
      <c r="D133" s="5">
        <v>45.63</v>
      </c>
      <c r="E133" s="5">
        <v>0</v>
      </c>
      <c r="F133" s="5">
        <v>0.81</v>
      </c>
      <c r="G133" s="5">
        <v>1.06</v>
      </c>
      <c r="H133" s="5">
        <v>7.2</v>
      </c>
      <c r="I133" s="5">
        <v>3.43</v>
      </c>
      <c r="J133" s="3">
        <f t="shared" si="58"/>
        <v>3.18</v>
      </c>
      <c r="K133" s="4">
        <v>49.89</v>
      </c>
      <c r="L133" s="3">
        <v>50.11</v>
      </c>
      <c r="M133" s="4">
        <v>90319</v>
      </c>
      <c r="N133" s="5">
        <v>3109</v>
      </c>
      <c r="O133" s="3">
        <f t="shared" si="59"/>
        <v>87210</v>
      </c>
      <c r="P133" s="5">
        <f t="shared" si="60"/>
        <v>3.4422436032285564E-2</v>
      </c>
      <c r="Q133" s="4">
        <f>ROUND($C133+MIN($D133:$E133)*(1-SUMIFS(PrefFlows!$C:$C,PrefFlows!$A:$A,INDEX($D$1:$E$1,MATCH(MIN($D133:$E133),$D133:$E133,0)),PrefFlows!$B:$B,$B133)),2)</f>
        <v>42.93</v>
      </c>
      <c r="R133" s="5">
        <f>ROUND(MAX($D133:$E133)+MIN($D133:$E133)*SUMIFS(PrefFlows!$C:$C,PrefFlows!$A:$A,INDEX($D$1:$E$1,MATCH(MIN($D133:$E133),$D133:$E133,0)),PrefFlows!$B:$B,$B133),2)</f>
        <v>45.63</v>
      </c>
      <c r="S133" s="5">
        <f t="shared" si="61"/>
        <v>1.06</v>
      </c>
      <c r="T133" s="5">
        <f t="shared" si="62"/>
        <v>7.2</v>
      </c>
      <c r="U133" s="3">
        <f t="shared" si="63"/>
        <v>3.18</v>
      </c>
      <c r="V133" s="6">
        <f t="shared" si="64"/>
        <v>2.7</v>
      </c>
      <c r="W133" s="4">
        <f>ROUND($S133*SUMIFS(PrefFlows!$C:$C,PrefFlows!$A:$A,$S$1,PrefFlows!$B:$B,$B133)+$T133*SUMIFS(PrefFlows!$C:$C,PrefFlows!$A:$A,$T$1,PrefFlows!$B:$B,$B133)+$U133*SUMIFS(PrefFlows!$C:$C,PrefFlows!$A:$A,$U$1,PrefFlows!$B:$B,$B133),2)</f>
        <v>3.68</v>
      </c>
      <c r="X133" s="3">
        <f>ROUND($S133*(1-SUMIFS(PrefFlows!$C:$C,PrefFlows!$A:$A,$S$1,PrefFlows!$B:$B,$B133))+$T133*(1-SUMIFS(PrefFlows!$C:$C,PrefFlows!$A:$A,$T$1,PrefFlows!$B:$B,$B133))+$U133*(1-SUMIFS(PrefFlows!$C:$C,PrefFlows!$A:$A,$U$1,PrefFlows!$B:$B,$B133)),2)</f>
        <v>7.76</v>
      </c>
      <c r="Y133" s="4">
        <f t="shared" si="65"/>
        <v>4.26</v>
      </c>
      <c r="Z133" s="3">
        <f t="shared" si="66"/>
        <v>7.18</v>
      </c>
      <c r="AA133" s="4">
        <f t="shared" si="67"/>
        <v>0.32169999999999999</v>
      </c>
      <c r="AB133" s="5">
        <f t="shared" si="68"/>
        <v>0.37240000000000001</v>
      </c>
      <c r="AC133" s="5">
        <f t="shared" si="69"/>
        <v>5.0700000000000002E-2</v>
      </c>
      <c r="AD133" s="3">
        <v>3.5449313791890501E-2</v>
      </c>
      <c r="AE133" s="4">
        <f>ROUND(S133*(1-(Exhaust!$B$2+AD133)),2)</f>
        <v>0.43</v>
      </c>
      <c r="AF133" s="5">
        <f>ROUND(T133*(1-(Exhaust!$B$3+$AD133)),2)</f>
        <v>4.0599999999999996</v>
      </c>
      <c r="AG133" s="3">
        <f>ROUND(U133*(1-(Exhaust!$B$4+$AD133)),2)</f>
        <v>1.48</v>
      </c>
      <c r="AH133" s="4">
        <f>ROUND($AE133*(SUMIFS(PrefFlows!$C:$C,PrefFlows!$A:$A,$S$1,PrefFlows!$B:$B,$B133)+$AC133)+$AF133*(SUMIFS(PrefFlows!$C:$C,PrefFlows!$A:$A,$T$1,PrefFlows!$B:$B,$B133)+$AC133)+$AG133*(SUMIFS(PrefFlows!$C:$C,PrefFlows!$A:$A,$U$1,PrefFlows!$B:$B,$B133)+$AC133),2)</f>
        <v>2.12</v>
      </c>
      <c r="AI133" s="3">
        <f>ROUND($AE133*(1-(SUMIFS(PrefFlows!$C:$C,PrefFlows!$A:$A,$S$1,PrefFlows!$B:$B,$B133)+$AC133))+$AF133*(1-(SUMIFS(PrefFlows!$C:$C,PrefFlows!$A:$A,$T$1,PrefFlows!$B:$B,$B133)+$AC133))+$AG133*(1-(SUMIFS(PrefFlows!$C:$C,PrefFlows!$A:$A,$U$1,PrefFlows!$B:$B,$B133)+$AC133)),2)</f>
        <v>3.85</v>
      </c>
      <c r="AJ133" s="4">
        <f t="shared" si="70"/>
        <v>47.75</v>
      </c>
      <c r="AK133" s="3">
        <f t="shared" si="71"/>
        <v>46.78</v>
      </c>
      <c r="AL133" s="4">
        <f t="shared" si="72"/>
        <v>50.51</v>
      </c>
      <c r="AM133" s="3">
        <f t="shared" si="72"/>
        <v>49.49</v>
      </c>
      <c r="AN133" s="1">
        <f t="shared" si="54"/>
        <v>-0.11</v>
      </c>
      <c r="AO133" s="1">
        <f t="shared" si="55"/>
        <v>0.63</v>
      </c>
      <c r="AP133" s="3">
        <f t="shared" si="56"/>
        <v>0.51</v>
      </c>
      <c r="AQ133" s="1" t="b">
        <f t="shared" si="73"/>
        <v>1</v>
      </c>
      <c r="AR133" s="1" t="b">
        <f t="shared" si="73"/>
        <v>1</v>
      </c>
      <c r="AS133" s="3" t="b">
        <f t="shared" si="74"/>
        <v>0</v>
      </c>
      <c r="AT133" s="1">
        <f t="shared" si="75"/>
        <v>0.74</v>
      </c>
      <c r="AU133" s="1">
        <f t="shared" si="75"/>
        <v>0.62</v>
      </c>
      <c r="AV133" s="3">
        <f t="shared" si="76"/>
        <v>0.12</v>
      </c>
      <c r="AW133" s="1">
        <f>ROUND(IF($B133="NSW",N133*Meta!$B$6,N133),1)</f>
        <v>2042.6</v>
      </c>
      <c r="AX133" s="3">
        <f t="shared" si="57"/>
        <v>84129.5</v>
      </c>
    </row>
    <row r="134" spans="1:50" x14ac:dyDescent="0.55000000000000004">
      <c r="A134" s="2" t="s">
        <v>145</v>
      </c>
      <c r="B134" s="3" t="s">
        <v>22</v>
      </c>
      <c r="C134" s="4">
        <v>36.409999999999997</v>
      </c>
      <c r="D134" s="5">
        <v>49.52</v>
      </c>
      <c r="E134" s="5">
        <v>0</v>
      </c>
      <c r="F134" s="5">
        <v>1.33</v>
      </c>
      <c r="G134" s="5">
        <v>0</v>
      </c>
      <c r="H134" s="5">
        <v>9.43</v>
      </c>
      <c r="I134" s="5">
        <v>3.31</v>
      </c>
      <c r="J134" s="3">
        <f t="shared" si="58"/>
        <v>4.6399999999999997</v>
      </c>
      <c r="K134" s="4">
        <v>53.82</v>
      </c>
      <c r="L134" s="3">
        <v>46.18</v>
      </c>
      <c r="M134" s="4">
        <v>85940</v>
      </c>
      <c r="N134" s="5">
        <v>1842</v>
      </c>
      <c r="O134" s="3">
        <f t="shared" si="59"/>
        <v>84098</v>
      </c>
      <c r="P134" s="5">
        <f t="shared" si="60"/>
        <v>2.1433558296485921E-2</v>
      </c>
      <c r="Q134" s="4">
        <f>ROUND($C134+MIN($D134:$E134)*(1-SUMIFS(PrefFlows!$C:$C,PrefFlows!$A:$A,INDEX($D$1:$E$1,MATCH(MIN($D134:$E134),$D134:$E134,0)),PrefFlows!$B:$B,$B134)),2)</f>
        <v>36.409999999999997</v>
      </c>
      <c r="R134" s="5">
        <f>ROUND(MAX($D134:$E134)+MIN($D134:$E134)*SUMIFS(PrefFlows!$C:$C,PrefFlows!$A:$A,INDEX($D$1:$E$1,MATCH(MIN($D134:$E134),$D134:$E134,0)),PrefFlows!$B:$B,$B134),2)</f>
        <v>49.52</v>
      </c>
      <c r="S134" s="5">
        <f t="shared" si="61"/>
        <v>0</v>
      </c>
      <c r="T134" s="5">
        <f t="shared" si="62"/>
        <v>9.43</v>
      </c>
      <c r="U134" s="3">
        <f t="shared" si="63"/>
        <v>4.6399999999999997</v>
      </c>
      <c r="V134" s="6">
        <f t="shared" si="64"/>
        <v>13.11</v>
      </c>
      <c r="W134" s="4">
        <f>ROUND($S134*SUMIFS(PrefFlows!$C:$C,PrefFlows!$A:$A,$S$1,PrefFlows!$B:$B,$B134)+$T134*SUMIFS(PrefFlows!$C:$C,PrefFlows!$A:$A,$T$1,PrefFlows!$B:$B,$B134)+$U134*SUMIFS(PrefFlows!$C:$C,PrefFlows!$A:$A,$U$1,PrefFlows!$B:$B,$B134),2)</f>
        <v>4.6900000000000004</v>
      </c>
      <c r="X134" s="3">
        <f>ROUND($S134*(1-SUMIFS(PrefFlows!$C:$C,PrefFlows!$A:$A,$S$1,PrefFlows!$B:$B,$B134))+$T134*(1-SUMIFS(PrefFlows!$C:$C,PrefFlows!$A:$A,$T$1,PrefFlows!$B:$B,$B134))+$U134*(1-SUMIFS(PrefFlows!$C:$C,PrefFlows!$A:$A,$U$1,PrefFlows!$B:$B,$B134)),2)</f>
        <v>9.3800000000000008</v>
      </c>
      <c r="Y134" s="4">
        <f t="shared" si="65"/>
        <v>4.3</v>
      </c>
      <c r="Z134" s="3">
        <f t="shared" si="66"/>
        <v>9.77</v>
      </c>
      <c r="AA134" s="4">
        <f t="shared" si="67"/>
        <v>0.33329999999999999</v>
      </c>
      <c r="AB134" s="5">
        <f t="shared" si="68"/>
        <v>0.30559999999999998</v>
      </c>
      <c r="AC134" s="5">
        <f t="shared" si="69"/>
        <v>-2.7699999999999999E-2</v>
      </c>
      <c r="AD134" s="3">
        <v>-8.776755955753E-3</v>
      </c>
      <c r="AE134" s="4">
        <f>ROUND(S134*(1-(Exhaust!$B$2+AD134)),2)</f>
        <v>0</v>
      </c>
      <c r="AF134" s="5">
        <f>ROUND(T134*(1-(Exhaust!$B$3+$AD134)),2)</f>
        <v>5.74</v>
      </c>
      <c r="AG134" s="3">
        <f>ROUND(U134*(1-(Exhaust!$B$4+$AD134)),2)</f>
        <v>2.36</v>
      </c>
      <c r="AH134" s="4">
        <f>ROUND($AE134*(SUMIFS(PrefFlows!$C:$C,PrefFlows!$A:$A,$S$1,PrefFlows!$B:$B,$B134)+$AC134)+$AF134*(SUMIFS(PrefFlows!$C:$C,PrefFlows!$A:$A,$T$1,PrefFlows!$B:$B,$B134)+$AC134)+$AG134*(SUMIFS(PrefFlows!$C:$C,PrefFlows!$A:$A,$U$1,PrefFlows!$B:$B,$B134)+$AC134),2)</f>
        <v>2.39</v>
      </c>
      <c r="AI134" s="3">
        <f>ROUND($AE134*(1-(SUMIFS(PrefFlows!$C:$C,PrefFlows!$A:$A,$S$1,PrefFlows!$B:$B,$B134)+$AC134))+$AF134*(1-(SUMIFS(PrefFlows!$C:$C,PrefFlows!$A:$A,$T$1,PrefFlows!$B:$B,$B134)+$AC134))+$AG134*(1-(SUMIFS(PrefFlows!$C:$C,PrefFlows!$A:$A,$U$1,PrefFlows!$B:$B,$B134)+$AC134)),2)</f>
        <v>5.71</v>
      </c>
      <c r="AJ134" s="4">
        <f t="shared" si="70"/>
        <v>51.91</v>
      </c>
      <c r="AK134" s="3">
        <f t="shared" si="71"/>
        <v>42.12</v>
      </c>
      <c r="AL134" s="4">
        <f t="shared" si="72"/>
        <v>55.21</v>
      </c>
      <c r="AM134" s="3">
        <f t="shared" si="72"/>
        <v>44.79</v>
      </c>
      <c r="AN134" s="1">
        <f t="shared" si="54"/>
        <v>3.82</v>
      </c>
      <c r="AO134" s="1">
        <f t="shared" si="55"/>
        <v>5.5</v>
      </c>
      <c r="AP134" s="3">
        <f t="shared" si="56"/>
        <v>5.21</v>
      </c>
      <c r="AQ134" s="1" t="b">
        <f t="shared" si="73"/>
        <v>0</v>
      </c>
      <c r="AR134" s="1" t="b">
        <f t="shared" si="73"/>
        <v>0</v>
      </c>
      <c r="AS134" s="3" t="b">
        <f t="shared" si="74"/>
        <v>0</v>
      </c>
      <c r="AT134" s="1">
        <f t="shared" si="75"/>
        <v>1.6800000000000002</v>
      </c>
      <c r="AU134" s="1">
        <f t="shared" si="75"/>
        <v>1.3900000000000001</v>
      </c>
      <c r="AV134" s="3">
        <f t="shared" si="76"/>
        <v>0.29000000000000004</v>
      </c>
      <c r="AW134" s="1">
        <f>ROUND(IF($B134="NSW",N134*Meta!$B$6,N134),1)</f>
        <v>1842</v>
      </c>
      <c r="AX134" s="3">
        <f t="shared" si="57"/>
        <v>79689</v>
      </c>
    </row>
    <row r="135" spans="1:50" x14ac:dyDescent="0.55000000000000004">
      <c r="A135" s="2" t="s">
        <v>146</v>
      </c>
      <c r="B135" s="3" t="s">
        <v>9</v>
      </c>
      <c r="C135" s="4">
        <v>63.32</v>
      </c>
      <c r="D135" s="5">
        <v>24.39</v>
      </c>
      <c r="E135" s="5">
        <v>0</v>
      </c>
      <c r="F135" s="5">
        <v>4.7300000000000004</v>
      </c>
      <c r="G135" s="5">
        <v>0</v>
      </c>
      <c r="H135" s="5">
        <v>6.03</v>
      </c>
      <c r="I135" s="5">
        <v>1.53</v>
      </c>
      <c r="J135" s="3">
        <f t="shared" si="58"/>
        <v>6.26</v>
      </c>
      <c r="K135" s="4">
        <v>29.15</v>
      </c>
      <c r="L135" s="3">
        <v>70.849999999999994</v>
      </c>
      <c r="M135" s="4">
        <v>85073</v>
      </c>
      <c r="N135" s="5">
        <v>3452</v>
      </c>
      <c r="O135" s="3">
        <f t="shared" si="59"/>
        <v>81621</v>
      </c>
      <c r="P135" s="5">
        <f t="shared" si="60"/>
        <v>4.0576916295416876E-2</v>
      </c>
      <c r="Q135" s="4">
        <f>ROUND($C135+MIN($D135:$E135)*(1-SUMIFS(PrefFlows!$C:$C,PrefFlows!$A:$A,INDEX($D$1:$E$1,MATCH(MIN($D135:$E135),$D135:$E135,0)),PrefFlows!$B:$B,$B135)),2)</f>
        <v>63.32</v>
      </c>
      <c r="R135" s="5">
        <f>ROUND(MAX($D135:$E135)+MIN($D135:$E135)*SUMIFS(PrefFlows!$C:$C,PrefFlows!$A:$A,INDEX($D$1:$E$1,MATCH(MIN($D135:$E135),$D135:$E135,0)),PrefFlows!$B:$B,$B135),2)</f>
        <v>24.39</v>
      </c>
      <c r="S135" s="5">
        <f t="shared" si="61"/>
        <v>0</v>
      </c>
      <c r="T135" s="5">
        <f t="shared" si="62"/>
        <v>6.03</v>
      </c>
      <c r="U135" s="3">
        <f t="shared" si="63"/>
        <v>6.26</v>
      </c>
      <c r="V135" s="6">
        <f t="shared" si="64"/>
        <v>-38.93</v>
      </c>
      <c r="W135" s="4">
        <f>ROUND($S135*SUMIFS(PrefFlows!$C:$C,PrefFlows!$A:$A,$S$1,PrefFlows!$B:$B,$B135)+$T135*SUMIFS(PrefFlows!$C:$C,PrefFlows!$A:$A,$T$1,PrefFlows!$B:$B,$B135)+$U135*SUMIFS(PrefFlows!$C:$C,PrefFlows!$A:$A,$U$1,PrefFlows!$B:$B,$B135),2)</f>
        <v>4.3600000000000003</v>
      </c>
      <c r="X135" s="3">
        <f>ROUND($S135*(1-SUMIFS(PrefFlows!$C:$C,PrefFlows!$A:$A,$S$1,PrefFlows!$B:$B,$B135))+$T135*(1-SUMIFS(PrefFlows!$C:$C,PrefFlows!$A:$A,$T$1,PrefFlows!$B:$B,$B135))+$U135*(1-SUMIFS(PrefFlows!$C:$C,PrefFlows!$A:$A,$U$1,PrefFlows!$B:$B,$B135)),2)</f>
        <v>7.93</v>
      </c>
      <c r="Y135" s="4">
        <f t="shared" si="65"/>
        <v>4.76</v>
      </c>
      <c r="Z135" s="3">
        <f t="shared" si="66"/>
        <v>7.53</v>
      </c>
      <c r="AA135" s="4">
        <f t="shared" si="67"/>
        <v>0.3548</v>
      </c>
      <c r="AB135" s="5">
        <f t="shared" si="68"/>
        <v>0.38729999999999998</v>
      </c>
      <c r="AC135" s="5">
        <f t="shared" si="69"/>
        <v>3.2500000000000001E-2</v>
      </c>
      <c r="AD135" s="3">
        <v>5.1499711606163998E-2</v>
      </c>
      <c r="AE135" s="4">
        <f>ROUND(S135*(1-(Exhaust!$B$2+AD135)),2)</f>
        <v>0</v>
      </c>
      <c r="AF135" s="5">
        <f>ROUND(T135*(1-(Exhaust!$B$3+$AD135)),2)</f>
        <v>3.31</v>
      </c>
      <c r="AG135" s="3">
        <f>ROUND(U135*(1-(Exhaust!$B$4+$AD135)),2)</f>
        <v>2.81</v>
      </c>
      <c r="AH135" s="4">
        <f>ROUND($AE135*(SUMIFS(PrefFlows!$C:$C,PrefFlows!$A:$A,$S$1,PrefFlows!$B:$B,$B135)+$AC135)+$AF135*(SUMIFS(PrefFlows!$C:$C,PrefFlows!$A:$A,$T$1,PrefFlows!$B:$B,$B135)+$AC135)+$AG135*(SUMIFS(PrefFlows!$C:$C,PrefFlows!$A:$A,$U$1,PrefFlows!$B:$B,$B135)+$AC135),2)</f>
        <v>2.2599999999999998</v>
      </c>
      <c r="AI135" s="3">
        <f>ROUND($AE135*(1-(SUMIFS(PrefFlows!$C:$C,PrefFlows!$A:$A,$S$1,PrefFlows!$B:$B,$B135)+$AC135))+$AF135*(1-(SUMIFS(PrefFlows!$C:$C,PrefFlows!$A:$A,$T$1,PrefFlows!$B:$B,$B135)+$AC135))+$AG135*(1-(SUMIFS(PrefFlows!$C:$C,PrefFlows!$A:$A,$U$1,PrefFlows!$B:$B,$B135)+$AC135)),2)</f>
        <v>3.86</v>
      </c>
      <c r="AJ135" s="4">
        <f t="shared" si="70"/>
        <v>26.65</v>
      </c>
      <c r="AK135" s="3">
        <f t="shared" si="71"/>
        <v>67.180000000000007</v>
      </c>
      <c r="AL135" s="4">
        <f t="shared" si="72"/>
        <v>28.4</v>
      </c>
      <c r="AM135" s="3">
        <f t="shared" si="72"/>
        <v>71.599999999999994</v>
      </c>
      <c r="AN135" s="1">
        <f t="shared" si="54"/>
        <v>-20.85</v>
      </c>
      <c r="AO135" s="1">
        <f t="shared" si="55"/>
        <v>-21.45</v>
      </c>
      <c r="AP135" s="3">
        <f t="shared" si="56"/>
        <v>-21.6</v>
      </c>
      <c r="AQ135" s="1" t="b">
        <f t="shared" si="73"/>
        <v>0</v>
      </c>
      <c r="AR135" s="1" t="b">
        <f t="shared" si="73"/>
        <v>0</v>
      </c>
      <c r="AS135" s="3" t="b">
        <f t="shared" si="74"/>
        <v>0</v>
      </c>
      <c r="AT135" s="1">
        <f t="shared" si="75"/>
        <v>-0.59999999999999787</v>
      </c>
      <c r="AU135" s="1">
        <f t="shared" si="75"/>
        <v>-0.75</v>
      </c>
      <c r="AV135" s="3">
        <f t="shared" si="76"/>
        <v>0.15000000000000213</v>
      </c>
      <c r="AW135" s="1">
        <f>ROUND(IF($B135="NSW",N135*Meta!$B$6,N135),1)</f>
        <v>3452</v>
      </c>
      <c r="AX135" s="3">
        <f t="shared" si="57"/>
        <v>77728.800000000003</v>
      </c>
    </row>
    <row r="136" spans="1:50" x14ac:dyDescent="0.55000000000000004">
      <c r="A136" s="2" t="s">
        <v>147</v>
      </c>
      <c r="B136" s="3" t="s">
        <v>12</v>
      </c>
      <c r="C136" s="4">
        <v>56.73</v>
      </c>
      <c r="D136" s="5">
        <v>31.12</v>
      </c>
      <c r="E136" s="5">
        <v>0</v>
      </c>
      <c r="F136" s="5">
        <v>1.92</v>
      </c>
      <c r="G136" s="5">
        <v>0</v>
      </c>
      <c r="H136" s="5">
        <v>8.3000000000000007</v>
      </c>
      <c r="I136" s="5">
        <v>1.93</v>
      </c>
      <c r="J136" s="3">
        <f t="shared" si="58"/>
        <v>3.85</v>
      </c>
      <c r="K136" s="4">
        <v>35.26</v>
      </c>
      <c r="L136" s="3">
        <v>64.739999999999995</v>
      </c>
      <c r="M136" s="4">
        <v>89255</v>
      </c>
      <c r="N136" s="5">
        <v>3714</v>
      </c>
      <c r="O136" s="3">
        <f t="shared" si="59"/>
        <v>85541</v>
      </c>
      <c r="P136" s="5">
        <f t="shared" si="60"/>
        <v>4.1611114223292812E-2</v>
      </c>
      <c r="Q136" s="4">
        <f>ROUND($C136+MIN($D136:$E136)*(1-SUMIFS(PrefFlows!$C:$C,PrefFlows!$A:$A,INDEX($D$1:$E$1,MATCH(MIN($D136:$E136),$D136:$E136,0)),PrefFlows!$B:$B,$B136)),2)</f>
        <v>56.73</v>
      </c>
      <c r="R136" s="5">
        <f>ROUND(MAX($D136:$E136)+MIN($D136:$E136)*SUMIFS(PrefFlows!$C:$C,PrefFlows!$A:$A,INDEX($D$1:$E$1,MATCH(MIN($D136:$E136),$D136:$E136,0)),PrefFlows!$B:$B,$B136),2)</f>
        <v>31.12</v>
      </c>
      <c r="S136" s="5">
        <f t="shared" si="61"/>
        <v>0</v>
      </c>
      <c r="T136" s="5">
        <f t="shared" si="62"/>
        <v>8.3000000000000007</v>
      </c>
      <c r="U136" s="3">
        <f t="shared" si="63"/>
        <v>3.85</v>
      </c>
      <c r="V136" s="6">
        <f t="shared" si="64"/>
        <v>-25.61</v>
      </c>
      <c r="W136" s="4">
        <f>ROUND($S136*SUMIFS(PrefFlows!$C:$C,PrefFlows!$A:$A,$S$1,PrefFlows!$B:$B,$B136)+$T136*SUMIFS(PrefFlows!$C:$C,PrefFlows!$A:$A,$T$1,PrefFlows!$B:$B,$B136)+$U136*SUMIFS(PrefFlows!$C:$C,PrefFlows!$A:$A,$U$1,PrefFlows!$B:$B,$B136),2)</f>
        <v>3.63</v>
      </c>
      <c r="X136" s="3">
        <f>ROUND($S136*(1-SUMIFS(PrefFlows!$C:$C,PrefFlows!$A:$A,$S$1,PrefFlows!$B:$B,$B136))+$T136*(1-SUMIFS(PrefFlows!$C:$C,PrefFlows!$A:$A,$T$1,PrefFlows!$B:$B,$B136))+$U136*(1-SUMIFS(PrefFlows!$C:$C,PrefFlows!$A:$A,$U$1,PrefFlows!$B:$B,$B136)),2)</f>
        <v>8.52</v>
      </c>
      <c r="Y136" s="4">
        <f t="shared" si="65"/>
        <v>4.1399999999999997</v>
      </c>
      <c r="Z136" s="3">
        <f t="shared" si="66"/>
        <v>8.01</v>
      </c>
      <c r="AA136" s="4">
        <f t="shared" si="67"/>
        <v>0.29880000000000001</v>
      </c>
      <c r="AB136" s="5">
        <f t="shared" si="68"/>
        <v>0.3407</v>
      </c>
      <c r="AC136" s="5">
        <f t="shared" si="69"/>
        <v>4.19E-2</v>
      </c>
      <c r="AD136" s="3">
        <v>7.6018790491383798E-2</v>
      </c>
      <c r="AE136" s="4">
        <f>ROUND(S136*(1-(Exhaust!$B$2+AD136)),2)</f>
        <v>0</v>
      </c>
      <c r="AF136" s="5">
        <f>ROUND(T136*(1-(Exhaust!$B$3+$AD136)),2)</f>
        <v>4.3499999999999996</v>
      </c>
      <c r="AG136" s="3">
        <f>ROUND(U136*(1-(Exhaust!$B$4+$AD136)),2)</f>
        <v>1.63</v>
      </c>
      <c r="AH136" s="4">
        <f>ROUND($AE136*(SUMIFS(PrefFlows!$C:$C,PrefFlows!$A:$A,$S$1,PrefFlows!$B:$B,$B136)+$AC136)+$AF136*(SUMIFS(PrefFlows!$C:$C,PrefFlows!$A:$A,$T$1,PrefFlows!$B:$B,$B136)+$AC136)+$AG136*(SUMIFS(PrefFlows!$C:$C,PrefFlows!$A:$A,$U$1,PrefFlows!$B:$B,$B136)+$AC136),2)</f>
        <v>1.95</v>
      </c>
      <c r="AI136" s="3">
        <f>ROUND($AE136*(1-(SUMIFS(PrefFlows!$C:$C,PrefFlows!$A:$A,$S$1,PrefFlows!$B:$B,$B136)+$AC136))+$AF136*(1-(SUMIFS(PrefFlows!$C:$C,PrefFlows!$A:$A,$T$1,PrefFlows!$B:$B,$B136)+$AC136))+$AG136*(1-(SUMIFS(PrefFlows!$C:$C,PrefFlows!$A:$A,$U$1,PrefFlows!$B:$B,$B136)+$AC136)),2)</f>
        <v>4.03</v>
      </c>
      <c r="AJ136" s="4">
        <f t="shared" si="70"/>
        <v>33.07</v>
      </c>
      <c r="AK136" s="3">
        <f t="shared" si="71"/>
        <v>60.76</v>
      </c>
      <c r="AL136" s="4">
        <f t="shared" si="72"/>
        <v>35.24</v>
      </c>
      <c r="AM136" s="3">
        <f t="shared" si="72"/>
        <v>64.760000000000005</v>
      </c>
      <c r="AN136" s="1">
        <f t="shared" si="54"/>
        <v>-14.74</v>
      </c>
      <c r="AO136" s="1">
        <f t="shared" si="55"/>
        <v>-14.67</v>
      </c>
      <c r="AP136" s="3">
        <f t="shared" si="56"/>
        <v>-14.76</v>
      </c>
      <c r="AQ136" s="1" t="b">
        <f t="shared" si="73"/>
        <v>0</v>
      </c>
      <c r="AR136" s="1" t="b">
        <f t="shared" si="73"/>
        <v>0</v>
      </c>
      <c r="AS136" s="3" t="b">
        <f t="shared" si="74"/>
        <v>0</v>
      </c>
      <c r="AT136" s="1">
        <f t="shared" si="75"/>
        <v>7.0000000000000284E-2</v>
      </c>
      <c r="AU136" s="1">
        <f t="shared" si="75"/>
        <v>-1.9999999999999574E-2</v>
      </c>
      <c r="AV136" s="3">
        <f t="shared" si="76"/>
        <v>8.9999999999999858E-2</v>
      </c>
      <c r="AW136" s="1">
        <f>ROUND(IF($B136="NSW",N136*Meta!$B$6,N136),1)</f>
        <v>2440.1</v>
      </c>
      <c r="AX136" s="3">
        <f t="shared" si="57"/>
        <v>82266.899999999994</v>
      </c>
    </row>
    <row r="137" spans="1:50" x14ac:dyDescent="0.55000000000000004">
      <c r="A137" s="2" t="s">
        <v>148</v>
      </c>
      <c r="B137" s="3" t="s">
        <v>102</v>
      </c>
      <c r="C137" s="4">
        <v>41.9</v>
      </c>
      <c r="D137" s="5">
        <v>46.8</v>
      </c>
      <c r="E137" s="5">
        <v>0</v>
      </c>
      <c r="F137" s="5">
        <v>0</v>
      </c>
      <c r="G137" s="5">
        <v>0</v>
      </c>
      <c r="H137" s="5">
        <v>9.07</v>
      </c>
      <c r="I137" s="5">
        <v>2.23</v>
      </c>
      <c r="J137" s="3">
        <f t="shared" si="58"/>
        <v>2.23</v>
      </c>
      <c r="K137" s="4">
        <v>49.81</v>
      </c>
      <c r="L137" s="3">
        <v>50.19</v>
      </c>
      <c r="M137" s="4">
        <v>53065</v>
      </c>
      <c r="N137" s="5">
        <v>1555</v>
      </c>
      <c r="O137" s="3">
        <f t="shared" si="59"/>
        <v>51510</v>
      </c>
      <c r="P137" s="5">
        <f t="shared" si="60"/>
        <v>2.9303684160934703E-2</v>
      </c>
      <c r="Q137" s="4">
        <f>ROUND($C137+MIN($D137:$E137)*(1-SUMIFS(PrefFlows!$C:$C,PrefFlows!$A:$A,INDEX($D$1:$E$1,MATCH(MIN($D137:$E137),$D137:$E137,0)),PrefFlows!$B:$B,$B137)),2)</f>
        <v>41.9</v>
      </c>
      <c r="R137" s="5">
        <f>ROUND(MAX($D137:$E137)+MIN($D137:$E137)*SUMIFS(PrefFlows!$C:$C,PrefFlows!$A:$A,INDEX($D$1:$E$1,MATCH(MIN($D137:$E137),$D137:$E137,0)),PrefFlows!$B:$B,$B137),2)</f>
        <v>46.8</v>
      </c>
      <c r="S137" s="5">
        <f t="shared" si="61"/>
        <v>0</v>
      </c>
      <c r="T137" s="5">
        <f t="shared" si="62"/>
        <v>9.07</v>
      </c>
      <c r="U137" s="3">
        <f t="shared" si="63"/>
        <v>2.23</v>
      </c>
      <c r="V137" s="6">
        <f t="shared" si="64"/>
        <v>4.9000000000000004</v>
      </c>
      <c r="W137" s="4">
        <f>ROUND($S137*SUMIFS(PrefFlows!$C:$C,PrefFlows!$A:$A,$S$1,PrefFlows!$B:$B,$B137)+$T137*SUMIFS(PrefFlows!$C:$C,PrefFlows!$A:$A,$T$1,PrefFlows!$B:$B,$B137)+$U137*SUMIFS(PrefFlows!$C:$C,PrefFlows!$A:$A,$U$1,PrefFlows!$B:$B,$B137),2)</f>
        <v>3.37</v>
      </c>
      <c r="X137" s="3">
        <f>ROUND($S137*(1-SUMIFS(PrefFlows!$C:$C,PrefFlows!$A:$A,$S$1,PrefFlows!$B:$B,$B137))+$T137*(1-SUMIFS(PrefFlows!$C:$C,PrefFlows!$A:$A,$T$1,PrefFlows!$B:$B,$B137))+$U137*(1-SUMIFS(PrefFlows!$C:$C,PrefFlows!$A:$A,$U$1,PrefFlows!$B:$B,$B137)),2)</f>
        <v>7.93</v>
      </c>
      <c r="Y137" s="4">
        <f t="shared" si="65"/>
        <v>3.01</v>
      </c>
      <c r="Z137" s="3">
        <f t="shared" si="66"/>
        <v>8.2899999999999991</v>
      </c>
      <c r="AA137" s="4">
        <f t="shared" si="67"/>
        <v>0.29820000000000002</v>
      </c>
      <c r="AB137" s="5">
        <f t="shared" si="68"/>
        <v>0.26640000000000003</v>
      </c>
      <c r="AC137" s="5">
        <f t="shared" si="69"/>
        <v>-3.1800000000000002E-2</v>
      </c>
      <c r="AD137" s="3">
        <v>-5.5031748377296803E-2</v>
      </c>
      <c r="AE137" s="4">
        <f>ROUND(S137*(1-(Exhaust!$B$2+AD137)),2)</f>
        <v>0</v>
      </c>
      <c r="AF137" s="5">
        <f>ROUND(T137*(1-(Exhaust!$B$3+$AD137)),2)</f>
        <v>5.94</v>
      </c>
      <c r="AG137" s="3">
        <f>ROUND(U137*(1-(Exhaust!$B$4+$AD137)),2)</f>
        <v>1.24</v>
      </c>
      <c r="AH137" s="4">
        <f>ROUND($AE137*(SUMIFS(PrefFlows!$C:$C,PrefFlows!$A:$A,$S$1,PrefFlows!$B:$B,$B137)+$AC137)+$AF137*(SUMIFS(PrefFlows!$C:$C,PrefFlows!$A:$A,$T$1,PrefFlows!$B:$B,$B137)+$AC137)+$AG137*(SUMIFS(PrefFlows!$C:$C,PrefFlows!$A:$A,$U$1,PrefFlows!$B:$B,$B137)+$AC137),2)</f>
        <v>1.86</v>
      </c>
      <c r="AI137" s="3">
        <f>ROUND($AE137*(1-(SUMIFS(PrefFlows!$C:$C,PrefFlows!$A:$A,$S$1,PrefFlows!$B:$B,$B137)+$AC137))+$AF137*(1-(SUMIFS(PrefFlows!$C:$C,PrefFlows!$A:$A,$T$1,PrefFlows!$B:$B,$B137)+$AC137))+$AG137*(1-(SUMIFS(PrefFlows!$C:$C,PrefFlows!$A:$A,$U$1,PrefFlows!$B:$B,$B137)+$AC137)),2)</f>
        <v>5.32</v>
      </c>
      <c r="AJ137" s="4">
        <f t="shared" si="70"/>
        <v>48.66</v>
      </c>
      <c r="AK137" s="3">
        <f t="shared" si="71"/>
        <v>47.22</v>
      </c>
      <c r="AL137" s="4">
        <f t="shared" si="72"/>
        <v>50.75</v>
      </c>
      <c r="AM137" s="3">
        <f t="shared" si="72"/>
        <v>49.25</v>
      </c>
      <c r="AN137" s="1">
        <f t="shared" si="54"/>
        <v>-0.19</v>
      </c>
      <c r="AO137" s="1">
        <f t="shared" si="55"/>
        <v>1.1399999999999999</v>
      </c>
      <c r="AP137" s="3">
        <f t="shared" si="56"/>
        <v>0.75</v>
      </c>
      <c r="AQ137" s="1" t="b">
        <f t="shared" si="73"/>
        <v>1</v>
      </c>
      <c r="AR137" s="1" t="b">
        <f t="shared" si="73"/>
        <v>1</v>
      </c>
      <c r="AS137" s="3" t="b">
        <f t="shared" si="74"/>
        <v>0</v>
      </c>
      <c r="AT137" s="1">
        <f t="shared" si="75"/>
        <v>1.3299999999999998</v>
      </c>
      <c r="AU137" s="1">
        <f t="shared" si="75"/>
        <v>0.94</v>
      </c>
      <c r="AV137" s="3">
        <f t="shared" si="76"/>
        <v>0.3899999999999999</v>
      </c>
      <c r="AW137" s="1">
        <f>ROUND(IF($B137="NSW",N137*Meta!$B$6,N137),1)</f>
        <v>1555</v>
      </c>
      <c r="AX137" s="3">
        <f t="shared" si="57"/>
        <v>49914.3</v>
      </c>
    </row>
    <row r="138" spans="1:50" x14ac:dyDescent="0.55000000000000004">
      <c r="A138" s="2" t="s">
        <v>149</v>
      </c>
      <c r="B138" s="3" t="s">
        <v>30</v>
      </c>
      <c r="C138" s="4">
        <v>40.44</v>
      </c>
      <c r="D138" s="5">
        <v>47.21</v>
      </c>
      <c r="E138" s="5">
        <v>0</v>
      </c>
      <c r="F138" s="5">
        <v>0.65</v>
      </c>
      <c r="G138" s="5">
        <v>0.65</v>
      </c>
      <c r="H138" s="5">
        <v>7.56</v>
      </c>
      <c r="I138" s="5">
        <v>4.1399999999999997</v>
      </c>
      <c r="J138" s="3">
        <f t="shared" si="58"/>
        <v>4.1399999999999997</v>
      </c>
      <c r="K138" s="4">
        <v>51.29</v>
      </c>
      <c r="L138" s="3">
        <v>48.71</v>
      </c>
      <c r="M138" s="4">
        <v>85129</v>
      </c>
      <c r="N138" s="5">
        <v>4178</v>
      </c>
      <c r="O138" s="3">
        <f t="shared" si="59"/>
        <v>80951</v>
      </c>
      <c r="P138" s="5">
        <f t="shared" si="60"/>
        <v>4.9078457399945964E-2</v>
      </c>
      <c r="Q138" s="4">
        <f>ROUND($C138+MIN($D138:$E138)*(1-SUMIFS(PrefFlows!$C:$C,PrefFlows!$A:$A,INDEX($D$1:$E$1,MATCH(MIN($D138:$E138),$D138:$E138,0)),PrefFlows!$B:$B,$B138)),2)</f>
        <v>40.44</v>
      </c>
      <c r="R138" s="5">
        <f>ROUND(MAX($D138:$E138)+MIN($D138:$E138)*SUMIFS(PrefFlows!$C:$C,PrefFlows!$A:$A,INDEX($D$1:$E$1,MATCH(MIN($D138:$E138),$D138:$E138,0)),PrefFlows!$B:$B,$B138),2)</f>
        <v>47.21</v>
      </c>
      <c r="S138" s="5">
        <f t="shared" si="61"/>
        <v>0.65</v>
      </c>
      <c r="T138" s="5">
        <f t="shared" si="62"/>
        <v>7.56</v>
      </c>
      <c r="U138" s="3">
        <f t="shared" si="63"/>
        <v>4.1399999999999997</v>
      </c>
      <c r="V138" s="6">
        <f t="shared" si="64"/>
        <v>6.77</v>
      </c>
      <c r="W138" s="4">
        <f>ROUND($S138*SUMIFS(PrefFlows!$C:$C,PrefFlows!$A:$A,$S$1,PrefFlows!$B:$B,$B138)+$T138*SUMIFS(PrefFlows!$C:$C,PrefFlows!$A:$A,$T$1,PrefFlows!$B:$B,$B138)+$U138*SUMIFS(PrefFlows!$C:$C,PrefFlows!$A:$A,$U$1,PrefFlows!$B:$B,$B138),2)</f>
        <v>4.3</v>
      </c>
      <c r="X138" s="3">
        <f>ROUND($S138*(1-SUMIFS(PrefFlows!$C:$C,PrefFlows!$A:$A,$S$1,PrefFlows!$B:$B,$B138))+$T138*(1-SUMIFS(PrefFlows!$C:$C,PrefFlows!$A:$A,$T$1,PrefFlows!$B:$B,$B138))+$U138*(1-SUMIFS(PrefFlows!$C:$C,PrefFlows!$A:$A,$U$1,PrefFlows!$B:$B,$B138)),2)</f>
        <v>8.0500000000000007</v>
      </c>
      <c r="Y138" s="4">
        <f t="shared" si="65"/>
        <v>4.08</v>
      </c>
      <c r="Z138" s="3">
        <f t="shared" si="66"/>
        <v>8.27</v>
      </c>
      <c r="AA138" s="4">
        <f t="shared" si="67"/>
        <v>0.34820000000000001</v>
      </c>
      <c r="AB138" s="5">
        <f t="shared" si="68"/>
        <v>0.33040000000000003</v>
      </c>
      <c r="AC138" s="5">
        <f t="shared" si="69"/>
        <v>-1.78E-2</v>
      </c>
      <c r="AD138" s="3">
        <v>1.6141720639040199E-4</v>
      </c>
      <c r="AE138" s="4">
        <f>ROUND(S138*(1-(Exhaust!$B$2+AD138)),2)</f>
        <v>0.28999999999999998</v>
      </c>
      <c r="AF138" s="5">
        <f>ROUND(T138*(1-(Exhaust!$B$3+$AD138)),2)</f>
        <v>4.53</v>
      </c>
      <c r="AG138" s="3">
        <f>ROUND(U138*(1-(Exhaust!$B$4+$AD138)),2)</f>
        <v>2.0699999999999998</v>
      </c>
      <c r="AH138" s="4">
        <f>ROUND($AE138*(SUMIFS(PrefFlows!$C:$C,PrefFlows!$A:$A,$S$1,PrefFlows!$B:$B,$B138)+$AC138)+$AF138*(SUMIFS(PrefFlows!$C:$C,PrefFlows!$A:$A,$T$1,PrefFlows!$B:$B,$B138)+$AC138)+$AG138*(SUMIFS(PrefFlows!$C:$C,PrefFlows!$A:$A,$U$1,PrefFlows!$B:$B,$B138)+$AC138),2)</f>
        <v>2.19</v>
      </c>
      <c r="AI138" s="3">
        <f>ROUND($AE138*(1-(SUMIFS(PrefFlows!$C:$C,PrefFlows!$A:$A,$S$1,PrefFlows!$B:$B,$B138)+$AC138))+$AF138*(1-(SUMIFS(PrefFlows!$C:$C,PrefFlows!$A:$A,$T$1,PrefFlows!$B:$B,$B138)+$AC138))+$AG138*(1-(SUMIFS(PrefFlows!$C:$C,PrefFlows!$A:$A,$U$1,PrefFlows!$B:$B,$B138)+$AC138)),2)</f>
        <v>4.7</v>
      </c>
      <c r="AJ138" s="4">
        <f t="shared" si="70"/>
        <v>49.4</v>
      </c>
      <c r="AK138" s="3">
        <f t="shared" si="71"/>
        <v>45.14</v>
      </c>
      <c r="AL138" s="4">
        <f t="shared" si="72"/>
        <v>52.25</v>
      </c>
      <c r="AM138" s="3">
        <f t="shared" si="72"/>
        <v>47.75</v>
      </c>
      <c r="AN138" s="1">
        <f t="shared" si="54"/>
        <v>1.29</v>
      </c>
      <c r="AO138" s="1">
        <f t="shared" si="55"/>
        <v>2.44</v>
      </c>
      <c r="AP138" s="3">
        <f t="shared" si="56"/>
        <v>2.25</v>
      </c>
      <c r="AQ138" s="1" t="b">
        <f t="shared" si="73"/>
        <v>0</v>
      </c>
      <c r="AR138" s="1" t="b">
        <f t="shared" si="73"/>
        <v>0</v>
      </c>
      <c r="AS138" s="3" t="b">
        <f t="shared" si="74"/>
        <v>0</v>
      </c>
      <c r="AT138" s="1">
        <f t="shared" si="75"/>
        <v>1.1499999999999999</v>
      </c>
      <c r="AU138" s="1">
        <f t="shared" si="75"/>
        <v>0.96</v>
      </c>
      <c r="AV138" s="3">
        <f t="shared" si="76"/>
        <v>0.18999999999999995</v>
      </c>
      <c r="AW138" s="1">
        <f>ROUND(IF($B138="NSW",N138*Meta!$B$6,N138),1)</f>
        <v>4178</v>
      </c>
      <c r="AX138" s="3">
        <f t="shared" si="57"/>
        <v>77925.899999999994</v>
      </c>
    </row>
    <row r="139" spans="1:50" x14ac:dyDescent="0.55000000000000004">
      <c r="A139" s="2" t="s">
        <v>150</v>
      </c>
      <c r="B139" s="3" t="s">
        <v>7</v>
      </c>
      <c r="C139" s="4">
        <v>41.46</v>
      </c>
      <c r="D139" s="5">
        <v>47.17</v>
      </c>
      <c r="E139" s="5">
        <v>0</v>
      </c>
      <c r="F139" s="5">
        <v>3.42</v>
      </c>
      <c r="G139" s="5">
        <v>0</v>
      </c>
      <c r="H139" s="5">
        <v>6.41</v>
      </c>
      <c r="I139" s="5">
        <v>1.54</v>
      </c>
      <c r="J139" s="3">
        <f t="shared" si="58"/>
        <v>4.96</v>
      </c>
      <c r="K139" s="4">
        <v>50.94</v>
      </c>
      <c r="L139" s="3">
        <v>49.06</v>
      </c>
      <c r="M139" s="4">
        <v>93844</v>
      </c>
      <c r="N139" s="5">
        <v>3249</v>
      </c>
      <c r="O139" s="3">
        <f t="shared" si="59"/>
        <v>90595</v>
      </c>
      <c r="P139" s="5">
        <f t="shared" si="60"/>
        <v>3.4621286390179445E-2</v>
      </c>
      <c r="Q139" s="4">
        <f>ROUND($C139+MIN($D139:$E139)*(1-SUMIFS(PrefFlows!$C:$C,PrefFlows!$A:$A,INDEX($D$1:$E$1,MATCH(MIN($D139:$E139),$D139:$E139,0)),PrefFlows!$B:$B,$B139)),2)</f>
        <v>41.46</v>
      </c>
      <c r="R139" s="5">
        <f>ROUND(MAX($D139:$E139)+MIN($D139:$E139)*SUMIFS(PrefFlows!$C:$C,PrefFlows!$A:$A,INDEX($D$1:$E$1,MATCH(MIN($D139:$E139),$D139:$E139,0)),PrefFlows!$B:$B,$B139),2)</f>
        <v>47.17</v>
      </c>
      <c r="S139" s="5">
        <f t="shared" si="61"/>
        <v>0</v>
      </c>
      <c r="T139" s="5">
        <f t="shared" si="62"/>
        <v>6.41</v>
      </c>
      <c r="U139" s="3">
        <f t="shared" si="63"/>
        <v>4.96</v>
      </c>
      <c r="V139" s="6">
        <f t="shared" si="64"/>
        <v>5.71</v>
      </c>
      <c r="W139" s="4">
        <f>ROUND($S139*SUMIFS(PrefFlows!$C:$C,PrefFlows!$A:$A,$S$1,PrefFlows!$B:$B,$B139)+$T139*SUMIFS(PrefFlows!$C:$C,PrefFlows!$A:$A,$T$1,PrefFlows!$B:$B,$B139)+$U139*SUMIFS(PrefFlows!$C:$C,PrefFlows!$A:$A,$U$1,PrefFlows!$B:$B,$B139),2)</f>
        <v>4.03</v>
      </c>
      <c r="X139" s="3">
        <f>ROUND($S139*(1-SUMIFS(PrefFlows!$C:$C,PrefFlows!$A:$A,$S$1,PrefFlows!$B:$B,$B139))+$T139*(1-SUMIFS(PrefFlows!$C:$C,PrefFlows!$A:$A,$T$1,PrefFlows!$B:$B,$B139))+$U139*(1-SUMIFS(PrefFlows!$C:$C,PrefFlows!$A:$A,$U$1,PrefFlows!$B:$B,$B139)),2)</f>
        <v>7.34</v>
      </c>
      <c r="Y139" s="4">
        <f t="shared" si="65"/>
        <v>3.77</v>
      </c>
      <c r="Z139" s="3">
        <f t="shared" si="66"/>
        <v>7.6</v>
      </c>
      <c r="AA139" s="4">
        <f t="shared" si="67"/>
        <v>0.35439999999999999</v>
      </c>
      <c r="AB139" s="5">
        <f t="shared" si="68"/>
        <v>0.33160000000000001</v>
      </c>
      <c r="AC139" s="5">
        <f t="shared" si="69"/>
        <v>-2.2800000000000001E-2</v>
      </c>
      <c r="AD139" s="3">
        <v>-4.0163231759281499E-2</v>
      </c>
      <c r="AE139" s="4">
        <f>ROUND(S139*(1-(Exhaust!$B$2+AD139)),2)</f>
        <v>0</v>
      </c>
      <c r="AF139" s="5">
        <f>ROUND(T139*(1-(Exhaust!$B$3+$AD139)),2)</f>
        <v>4.0999999999999996</v>
      </c>
      <c r="AG139" s="3">
        <f>ROUND(U139*(1-(Exhaust!$B$4+$AD139)),2)</f>
        <v>2.68</v>
      </c>
      <c r="AH139" s="4">
        <f>ROUND($AE139*(SUMIFS(PrefFlows!$C:$C,PrefFlows!$A:$A,$S$1,PrefFlows!$B:$B,$B139)+$AC139)+$AF139*(SUMIFS(PrefFlows!$C:$C,PrefFlows!$A:$A,$T$1,PrefFlows!$B:$B,$B139)+$AC139)+$AG139*(SUMIFS(PrefFlows!$C:$C,PrefFlows!$A:$A,$U$1,PrefFlows!$B:$B,$B139)+$AC139),2)</f>
        <v>2.17</v>
      </c>
      <c r="AI139" s="3">
        <f>ROUND($AE139*(1-(SUMIFS(PrefFlows!$C:$C,PrefFlows!$A:$A,$S$1,PrefFlows!$B:$B,$B139)+$AC139))+$AF139*(1-(SUMIFS(PrefFlows!$C:$C,PrefFlows!$A:$A,$T$1,PrefFlows!$B:$B,$B139)+$AC139))+$AG139*(1-(SUMIFS(PrefFlows!$C:$C,PrefFlows!$A:$A,$U$1,PrefFlows!$B:$B,$B139)+$AC139)),2)</f>
        <v>4.6100000000000003</v>
      </c>
      <c r="AJ139" s="4">
        <f t="shared" si="70"/>
        <v>49.34</v>
      </c>
      <c r="AK139" s="3">
        <f t="shared" si="71"/>
        <v>46.07</v>
      </c>
      <c r="AL139" s="4">
        <f t="shared" si="72"/>
        <v>51.71</v>
      </c>
      <c r="AM139" s="3">
        <f t="shared" si="72"/>
        <v>48.29</v>
      </c>
      <c r="AN139" s="1">
        <f t="shared" si="54"/>
        <v>0.94</v>
      </c>
      <c r="AO139" s="1">
        <f t="shared" si="55"/>
        <v>1.97</v>
      </c>
      <c r="AP139" s="3">
        <f t="shared" si="56"/>
        <v>1.71</v>
      </c>
      <c r="AQ139" s="1" t="b">
        <f t="shared" si="73"/>
        <v>0</v>
      </c>
      <c r="AR139" s="1" t="b">
        <f t="shared" si="73"/>
        <v>0</v>
      </c>
      <c r="AS139" s="3" t="b">
        <f t="shared" si="74"/>
        <v>0</v>
      </c>
      <c r="AT139" s="1">
        <f t="shared" si="75"/>
        <v>1.03</v>
      </c>
      <c r="AU139" s="1">
        <f t="shared" si="75"/>
        <v>0.77</v>
      </c>
      <c r="AV139" s="3">
        <f t="shared" si="76"/>
        <v>0.26</v>
      </c>
      <c r="AW139" s="1">
        <f>ROUND(IF($B139="NSW",N139*Meta!$B$6,N139),1)</f>
        <v>3249</v>
      </c>
      <c r="AX139" s="3">
        <f t="shared" si="57"/>
        <v>87531.3</v>
      </c>
    </row>
    <row r="140" spans="1:50" x14ac:dyDescent="0.55000000000000004">
      <c r="A140" s="2" t="s">
        <v>151</v>
      </c>
      <c r="B140" s="3" t="s">
        <v>30</v>
      </c>
      <c r="C140" s="4">
        <v>40.65</v>
      </c>
      <c r="D140" s="5">
        <v>44.28</v>
      </c>
      <c r="E140" s="5">
        <v>0</v>
      </c>
      <c r="F140" s="5">
        <v>0.8</v>
      </c>
      <c r="G140" s="5">
        <v>0.89</v>
      </c>
      <c r="H140" s="5">
        <v>10.130000000000001</v>
      </c>
      <c r="I140" s="5">
        <v>4.1399999999999997</v>
      </c>
      <c r="J140" s="3">
        <f t="shared" si="58"/>
        <v>4.05</v>
      </c>
      <c r="K140" s="4">
        <v>50.11</v>
      </c>
      <c r="L140" s="3">
        <v>49.89</v>
      </c>
      <c r="M140" s="4">
        <v>76173</v>
      </c>
      <c r="N140" s="5">
        <v>3497</v>
      </c>
      <c r="O140" s="3">
        <f t="shared" si="59"/>
        <v>72676</v>
      </c>
      <c r="P140" s="5">
        <f t="shared" si="60"/>
        <v>4.5908655297808937E-2</v>
      </c>
      <c r="Q140" s="4">
        <f>ROUND($C140+MIN($D140:$E140)*(1-SUMIFS(PrefFlows!$C:$C,PrefFlows!$A:$A,INDEX($D$1:$E$1,MATCH(MIN($D140:$E140),$D140:$E140,0)),PrefFlows!$B:$B,$B140)),2)</f>
        <v>40.65</v>
      </c>
      <c r="R140" s="5">
        <f>ROUND(MAX($D140:$E140)+MIN($D140:$E140)*SUMIFS(PrefFlows!$C:$C,PrefFlows!$A:$A,INDEX($D$1:$E$1,MATCH(MIN($D140:$E140),$D140:$E140,0)),PrefFlows!$B:$B,$B140),2)</f>
        <v>44.28</v>
      </c>
      <c r="S140" s="5">
        <f t="shared" si="61"/>
        <v>0.89</v>
      </c>
      <c r="T140" s="5">
        <f t="shared" si="62"/>
        <v>10.130000000000001</v>
      </c>
      <c r="U140" s="3">
        <f t="shared" si="63"/>
        <v>4.05</v>
      </c>
      <c r="V140" s="6">
        <f t="shared" si="64"/>
        <v>3.63</v>
      </c>
      <c r="W140" s="4">
        <f>ROUND($S140*SUMIFS(PrefFlows!$C:$C,PrefFlows!$A:$A,$S$1,PrefFlows!$B:$B,$B140)+$T140*SUMIFS(PrefFlows!$C:$C,PrefFlows!$A:$A,$T$1,PrefFlows!$B:$B,$B140)+$U140*SUMIFS(PrefFlows!$C:$C,PrefFlows!$A:$A,$U$1,PrefFlows!$B:$B,$B140),2)</f>
        <v>5</v>
      </c>
      <c r="X140" s="3">
        <f>ROUND($S140*(1-SUMIFS(PrefFlows!$C:$C,PrefFlows!$A:$A,$S$1,PrefFlows!$B:$B,$B140))+$T140*(1-SUMIFS(PrefFlows!$C:$C,PrefFlows!$A:$A,$T$1,PrefFlows!$B:$B,$B140))+$U140*(1-SUMIFS(PrefFlows!$C:$C,PrefFlows!$A:$A,$U$1,PrefFlows!$B:$B,$B140)),2)</f>
        <v>10.07</v>
      </c>
      <c r="Y140" s="4">
        <f t="shared" si="65"/>
        <v>5.83</v>
      </c>
      <c r="Z140" s="3">
        <f t="shared" si="66"/>
        <v>9.24</v>
      </c>
      <c r="AA140" s="4">
        <f t="shared" si="67"/>
        <v>0.33179999999999998</v>
      </c>
      <c r="AB140" s="5">
        <f t="shared" si="68"/>
        <v>0.38690000000000002</v>
      </c>
      <c r="AC140" s="5">
        <f t="shared" si="69"/>
        <v>5.5100000000000003E-2</v>
      </c>
      <c r="AD140" s="3">
        <v>-1.1846446298118299E-2</v>
      </c>
      <c r="AE140" s="4">
        <f>ROUND(S140*(1-(Exhaust!$B$2+AD140)),2)</f>
        <v>0.4</v>
      </c>
      <c r="AF140" s="5">
        <f>ROUND(T140*(1-(Exhaust!$B$3+$AD140)),2)</f>
        <v>6.2</v>
      </c>
      <c r="AG140" s="3">
        <f>ROUND(U140*(1-(Exhaust!$B$4+$AD140)),2)</f>
        <v>2.0699999999999998</v>
      </c>
      <c r="AH140" s="4">
        <f>ROUND($AE140*(SUMIFS(PrefFlows!$C:$C,PrefFlows!$A:$A,$S$1,PrefFlows!$B:$B,$B140)+$AC140)+$AF140*(SUMIFS(PrefFlows!$C:$C,PrefFlows!$A:$A,$T$1,PrefFlows!$B:$B,$B140)+$AC140)+$AG140*(SUMIFS(PrefFlows!$C:$C,PrefFlows!$A:$A,$U$1,PrefFlows!$B:$B,$B140)+$AC140),2)</f>
        <v>3.25</v>
      </c>
      <c r="AI140" s="3">
        <f>ROUND($AE140*(1-(SUMIFS(PrefFlows!$C:$C,PrefFlows!$A:$A,$S$1,PrefFlows!$B:$B,$B140)+$AC140))+$AF140*(1-(SUMIFS(PrefFlows!$C:$C,PrefFlows!$A:$A,$T$1,PrefFlows!$B:$B,$B140)+$AC140))+$AG140*(1-(SUMIFS(PrefFlows!$C:$C,PrefFlows!$A:$A,$U$1,PrefFlows!$B:$B,$B140)+$AC140)),2)</f>
        <v>5.42</v>
      </c>
      <c r="AJ140" s="4">
        <f t="shared" si="70"/>
        <v>47.53</v>
      </c>
      <c r="AK140" s="3">
        <f t="shared" si="71"/>
        <v>46.07</v>
      </c>
      <c r="AL140" s="4">
        <f t="shared" si="72"/>
        <v>50.78</v>
      </c>
      <c r="AM140" s="3">
        <f t="shared" si="72"/>
        <v>49.22</v>
      </c>
      <c r="AN140" s="1">
        <f t="shared" si="54"/>
        <v>0.11</v>
      </c>
      <c r="AO140" s="1">
        <f t="shared" si="55"/>
        <v>1</v>
      </c>
      <c r="AP140" s="3">
        <f t="shared" si="56"/>
        <v>0.78</v>
      </c>
      <c r="AQ140" s="1" t="b">
        <f t="shared" si="73"/>
        <v>0</v>
      </c>
      <c r="AR140" s="1" t="b">
        <f t="shared" si="73"/>
        <v>0</v>
      </c>
      <c r="AS140" s="3" t="b">
        <f t="shared" si="74"/>
        <v>0</v>
      </c>
      <c r="AT140" s="1">
        <f t="shared" si="75"/>
        <v>0.89</v>
      </c>
      <c r="AU140" s="1">
        <f t="shared" si="75"/>
        <v>0.67</v>
      </c>
      <c r="AV140" s="3">
        <f t="shared" si="76"/>
        <v>0.21999999999999997</v>
      </c>
      <c r="AW140" s="1">
        <f>ROUND(IF($B140="NSW",N140*Meta!$B$6,N140),1)</f>
        <v>3497</v>
      </c>
      <c r="AX140" s="3">
        <f t="shared" si="57"/>
        <v>69180.600000000006</v>
      </c>
    </row>
    <row r="141" spans="1:50" x14ac:dyDescent="0.55000000000000004">
      <c r="A141" s="2" t="s">
        <v>152</v>
      </c>
      <c r="B141" s="3" t="s">
        <v>12</v>
      </c>
      <c r="C141" s="4">
        <v>48.99</v>
      </c>
      <c r="D141" s="5">
        <v>26.7</v>
      </c>
      <c r="E141" s="5">
        <v>0</v>
      </c>
      <c r="F141" s="5">
        <v>0</v>
      </c>
      <c r="G141" s="5">
        <v>0</v>
      </c>
      <c r="H141" s="5">
        <v>20.71</v>
      </c>
      <c r="I141" s="5">
        <v>3.6</v>
      </c>
      <c r="J141" s="3">
        <f t="shared" si="58"/>
        <v>3.6</v>
      </c>
      <c r="K141" s="4">
        <v>30.5</v>
      </c>
      <c r="L141" s="3">
        <v>69.5</v>
      </c>
      <c r="M141" s="4">
        <v>79850</v>
      </c>
      <c r="N141" s="5">
        <v>3286</v>
      </c>
      <c r="O141" s="3">
        <f t="shared" si="59"/>
        <v>76564</v>
      </c>
      <c r="P141" s="5">
        <f t="shared" si="60"/>
        <v>4.1152160300563553E-2</v>
      </c>
      <c r="Q141" s="4">
        <f>ROUND($C141+MIN($D141:$E141)*(1-SUMIFS(PrefFlows!$C:$C,PrefFlows!$A:$A,INDEX($D$1:$E$1,MATCH(MIN($D141:$E141),$D141:$E141,0)),PrefFlows!$B:$B,$B141)),2)</f>
        <v>48.99</v>
      </c>
      <c r="R141" s="5">
        <f>ROUND(MAX($D141:$E141)+MIN($D141:$E141)*SUMIFS(PrefFlows!$C:$C,PrefFlows!$A:$A,INDEX($D$1:$E$1,MATCH(MIN($D141:$E141),$D141:$E141,0)),PrefFlows!$B:$B,$B141),2)</f>
        <v>26.7</v>
      </c>
      <c r="S141" s="5">
        <f t="shared" si="61"/>
        <v>0</v>
      </c>
      <c r="T141" s="5">
        <f t="shared" si="62"/>
        <v>20.71</v>
      </c>
      <c r="U141" s="3">
        <f t="shared" si="63"/>
        <v>3.6</v>
      </c>
      <c r="V141" s="6">
        <f t="shared" si="64"/>
        <v>-22.29</v>
      </c>
      <c r="W141" s="4">
        <f>ROUND($S141*SUMIFS(PrefFlows!$C:$C,PrefFlows!$A:$A,$S$1,PrefFlows!$B:$B,$B141)+$T141*SUMIFS(PrefFlows!$C:$C,PrefFlows!$A:$A,$T$1,PrefFlows!$B:$B,$B141)+$U141*SUMIFS(PrefFlows!$C:$C,PrefFlows!$A:$A,$U$1,PrefFlows!$B:$B,$B141),2)</f>
        <v>5.88</v>
      </c>
      <c r="X141" s="3">
        <f>ROUND($S141*(1-SUMIFS(PrefFlows!$C:$C,PrefFlows!$A:$A,$S$1,PrefFlows!$B:$B,$B141))+$T141*(1-SUMIFS(PrefFlows!$C:$C,PrefFlows!$A:$A,$T$1,PrefFlows!$B:$B,$B141))+$U141*(1-SUMIFS(PrefFlows!$C:$C,PrefFlows!$A:$A,$U$1,PrefFlows!$B:$B,$B141)),2)</f>
        <v>18.43</v>
      </c>
      <c r="Y141" s="4">
        <f t="shared" si="65"/>
        <v>3.8</v>
      </c>
      <c r="Z141" s="3">
        <f t="shared" si="66"/>
        <v>20.51</v>
      </c>
      <c r="AA141" s="4">
        <f t="shared" si="67"/>
        <v>0.2419</v>
      </c>
      <c r="AB141" s="5">
        <f t="shared" si="68"/>
        <v>0.15629999999999999</v>
      </c>
      <c r="AC141" s="5">
        <f t="shared" si="69"/>
        <v>-8.5599999999999996E-2</v>
      </c>
      <c r="AD141" s="3">
        <v>1.04321283201778E-2</v>
      </c>
      <c r="AE141" s="4">
        <f>ROUND(S141*(1-(Exhaust!$B$2+AD141)),2)</f>
        <v>0</v>
      </c>
      <c r="AF141" s="5">
        <f>ROUND(T141*(1-(Exhaust!$B$3+$AD141)),2)</f>
        <v>12.21</v>
      </c>
      <c r="AG141" s="3">
        <f>ROUND(U141*(1-(Exhaust!$B$4+$AD141)),2)</f>
        <v>1.76</v>
      </c>
      <c r="AH141" s="4">
        <f>ROUND($AE141*(SUMIFS(PrefFlows!$C:$C,PrefFlows!$A:$A,$S$1,PrefFlows!$B:$B,$B141)+$AC141)+$AF141*(SUMIFS(PrefFlows!$C:$C,PrefFlows!$A:$A,$T$1,PrefFlows!$B:$B,$B141)+$AC141)+$AG141*(SUMIFS(PrefFlows!$C:$C,PrefFlows!$A:$A,$U$1,PrefFlows!$B:$B,$B141)+$AC141),2)</f>
        <v>2.08</v>
      </c>
      <c r="AI141" s="3">
        <f>ROUND($AE141*(1-(SUMIFS(PrefFlows!$C:$C,PrefFlows!$A:$A,$S$1,PrefFlows!$B:$B,$B141)+$AC141))+$AF141*(1-(SUMIFS(PrefFlows!$C:$C,PrefFlows!$A:$A,$T$1,PrefFlows!$B:$B,$B141)+$AC141))+$AG141*(1-(SUMIFS(PrefFlows!$C:$C,PrefFlows!$A:$A,$U$1,PrefFlows!$B:$B,$B141)+$AC141)),2)</f>
        <v>11.89</v>
      </c>
      <c r="AJ141" s="4">
        <f t="shared" si="70"/>
        <v>28.78</v>
      </c>
      <c r="AK141" s="3">
        <f t="shared" si="71"/>
        <v>60.88</v>
      </c>
      <c r="AL141" s="4">
        <f t="shared" si="72"/>
        <v>32.1</v>
      </c>
      <c r="AM141" s="3">
        <f t="shared" si="72"/>
        <v>67.900000000000006</v>
      </c>
      <c r="AN141" s="1">
        <f t="shared" si="54"/>
        <v>-19.5</v>
      </c>
      <c r="AO141" s="1">
        <f t="shared" si="55"/>
        <v>-17.54</v>
      </c>
      <c r="AP141" s="3">
        <f t="shared" si="56"/>
        <v>-17.899999999999999</v>
      </c>
      <c r="AQ141" s="1" t="b">
        <f t="shared" si="73"/>
        <v>0</v>
      </c>
      <c r="AR141" s="1" t="b">
        <f t="shared" si="73"/>
        <v>0</v>
      </c>
      <c r="AS141" s="3" t="b">
        <f t="shared" si="74"/>
        <v>0</v>
      </c>
      <c r="AT141" s="1">
        <f t="shared" si="75"/>
        <v>1.9600000000000009</v>
      </c>
      <c r="AU141" s="1">
        <f t="shared" si="75"/>
        <v>1.6000000000000014</v>
      </c>
      <c r="AV141" s="3">
        <f t="shared" si="76"/>
        <v>0.35999999999999943</v>
      </c>
      <c r="AW141" s="1">
        <f>ROUND(IF($B141="NSW",N141*Meta!$B$6,N141),1)</f>
        <v>2158.9</v>
      </c>
      <c r="AX141" s="3">
        <f t="shared" si="57"/>
        <v>70341.399999999994</v>
      </c>
    </row>
    <row r="142" spans="1:50" x14ac:dyDescent="0.55000000000000004">
      <c r="A142" s="2" t="s">
        <v>153</v>
      </c>
      <c r="B142" s="3" t="s">
        <v>30</v>
      </c>
      <c r="C142" s="4">
        <v>32.04</v>
      </c>
      <c r="D142" s="5">
        <v>50.85</v>
      </c>
      <c r="E142" s="5">
        <v>0</v>
      </c>
      <c r="F142" s="5">
        <v>1.05</v>
      </c>
      <c r="G142" s="5">
        <v>0.79</v>
      </c>
      <c r="H142" s="5">
        <v>8.9</v>
      </c>
      <c r="I142" s="5">
        <v>7.16</v>
      </c>
      <c r="J142" s="3">
        <f t="shared" si="58"/>
        <v>7.42</v>
      </c>
      <c r="K142" s="4">
        <v>58.68</v>
      </c>
      <c r="L142" s="3">
        <v>41.32</v>
      </c>
      <c r="M142" s="4">
        <v>79677</v>
      </c>
      <c r="N142" s="5">
        <v>2178</v>
      </c>
      <c r="O142" s="3">
        <f t="shared" si="59"/>
        <v>77499</v>
      </c>
      <c r="P142" s="5">
        <f t="shared" si="60"/>
        <v>2.7335366542415002E-2</v>
      </c>
      <c r="Q142" s="4">
        <f>ROUND($C142+MIN($D142:$E142)*(1-SUMIFS(PrefFlows!$C:$C,PrefFlows!$A:$A,INDEX($D$1:$E$1,MATCH(MIN($D142:$E142),$D142:$E142,0)),PrefFlows!$B:$B,$B142)),2)</f>
        <v>32.04</v>
      </c>
      <c r="R142" s="5">
        <f>ROUND(MAX($D142:$E142)+MIN($D142:$E142)*SUMIFS(PrefFlows!$C:$C,PrefFlows!$A:$A,INDEX($D$1:$E$1,MATCH(MIN($D142:$E142),$D142:$E142,0)),PrefFlows!$B:$B,$B142),2)</f>
        <v>50.85</v>
      </c>
      <c r="S142" s="5">
        <f t="shared" si="61"/>
        <v>0.79</v>
      </c>
      <c r="T142" s="5">
        <f t="shared" si="62"/>
        <v>8.9</v>
      </c>
      <c r="U142" s="3">
        <f t="shared" si="63"/>
        <v>7.42</v>
      </c>
      <c r="V142" s="6">
        <f t="shared" si="64"/>
        <v>18.809999999999999</v>
      </c>
      <c r="W142" s="4">
        <f>ROUND($S142*SUMIFS(PrefFlows!$C:$C,PrefFlows!$A:$A,$S$1,PrefFlows!$B:$B,$B142)+$T142*SUMIFS(PrefFlows!$C:$C,PrefFlows!$A:$A,$T$1,PrefFlows!$B:$B,$B142)+$U142*SUMIFS(PrefFlows!$C:$C,PrefFlows!$A:$A,$U$1,PrefFlows!$B:$B,$B142),2)</f>
        <v>6.4</v>
      </c>
      <c r="X142" s="3">
        <f>ROUND($S142*(1-SUMIFS(PrefFlows!$C:$C,PrefFlows!$A:$A,$S$1,PrefFlows!$B:$B,$B142))+$T142*(1-SUMIFS(PrefFlows!$C:$C,PrefFlows!$A:$A,$T$1,PrefFlows!$B:$B,$B142))+$U142*(1-SUMIFS(PrefFlows!$C:$C,PrefFlows!$A:$A,$U$1,PrefFlows!$B:$B,$B142)),2)</f>
        <v>10.71</v>
      </c>
      <c r="Y142" s="4">
        <f t="shared" si="65"/>
        <v>7.83</v>
      </c>
      <c r="Z142" s="3">
        <f t="shared" si="66"/>
        <v>9.2799999999999994</v>
      </c>
      <c r="AA142" s="4">
        <f t="shared" si="67"/>
        <v>0.37409999999999999</v>
      </c>
      <c r="AB142" s="5">
        <f t="shared" si="68"/>
        <v>0.45760000000000001</v>
      </c>
      <c r="AC142" s="5">
        <f t="shared" si="69"/>
        <v>8.3500000000000005E-2</v>
      </c>
      <c r="AD142" s="3">
        <v>-5.4896310832806498E-3</v>
      </c>
      <c r="AE142" s="4">
        <f>ROUND(S142*(1-(Exhaust!$B$2+AD142)),2)</f>
        <v>0.35</v>
      </c>
      <c r="AF142" s="5">
        <f>ROUND(T142*(1-(Exhaust!$B$3+$AD142)),2)</f>
        <v>5.39</v>
      </c>
      <c r="AG142" s="3">
        <f>ROUND(U142*(1-(Exhaust!$B$4+$AD142)),2)</f>
        <v>3.75</v>
      </c>
      <c r="AH142" s="4">
        <f>ROUND($AE142*(SUMIFS(PrefFlows!$C:$C,PrefFlows!$A:$A,$S$1,PrefFlows!$B:$B,$B142)+$AC142)+$AF142*(SUMIFS(PrefFlows!$C:$C,PrefFlows!$A:$A,$T$1,PrefFlows!$B:$B,$B142)+$AC142)+$AG142*(SUMIFS(PrefFlows!$C:$C,PrefFlows!$A:$A,$U$1,PrefFlows!$B:$B,$B142)+$AC142),2)</f>
        <v>4.22</v>
      </c>
      <c r="AI142" s="3">
        <f>ROUND($AE142*(1-(SUMIFS(PrefFlows!$C:$C,PrefFlows!$A:$A,$S$1,PrefFlows!$B:$B,$B142)+$AC142))+$AF142*(1-(SUMIFS(PrefFlows!$C:$C,PrefFlows!$A:$A,$T$1,PrefFlows!$B:$B,$B142)+$AC142))+$AG142*(1-(SUMIFS(PrefFlows!$C:$C,PrefFlows!$A:$A,$U$1,PrefFlows!$B:$B,$B142)+$AC142)),2)</f>
        <v>5.27</v>
      </c>
      <c r="AJ142" s="4">
        <f t="shared" si="70"/>
        <v>55.07</v>
      </c>
      <c r="AK142" s="3">
        <f t="shared" si="71"/>
        <v>37.31</v>
      </c>
      <c r="AL142" s="4">
        <f t="shared" si="72"/>
        <v>59.61</v>
      </c>
      <c r="AM142" s="3">
        <f t="shared" si="72"/>
        <v>40.39</v>
      </c>
      <c r="AN142" s="1">
        <f t="shared" si="54"/>
        <v>8.68</v>
      </c>
      <c r="AO142" s="1">
        <f t="shared" si="55"/>
        <v>9.84</v>
      </c>
      <c r="AP142" s="3">
        <f t="shared" si="56"/>
        <v>9.61</v>
      </c>
      <c r="AQ142" s="1" t="b">
        <f t="shared" si="73"/>
        <v>0</v>
      </c>
      <c r="AR142" s="1" t="b">
        <f t="shared" si="73"/>
        <v>0</v>
      </c>
      <c r="AS142" s="3" t="b">
        <f t="shared" si="74"/>
        <v>0</v>
      </c>
      <c r="AT142" s="1">
        <f t="shared" si="75"/>
        <v>1.1600000000000001</v>
      </c>
      <c r="AU142" s="1">
        <f t="shared" si="75"/>
        <v>0.92999999999999972</v>
      </c>
      <c r="AV142" s="3">
        <f t="shared" si="76"/>
        <v>0.23000000000000043</v>
      </c>
      <c r="AW142" s="1">
        <f>ROUND(IF($B142="NSW",N142*Meta!$B$6,N142),1)</f>
        <v>2178</v>
      </c>
      <c r="AX142" s="3">
        <f t="shared" si="57"/>
        <v>72304.100000000006</v>
      </c>
    </row>
    <row r="143" spans="1:50" x14ac:dyDescent="0.55000000000000004">
      <c r="A143" s="2" t="s">
        <v>154</v>
      </c>
      <c r="B143" s="3" t="s">
        <v>12</v>
      </c>
      <c r="C143" s="4">
        <v>64.98</v>
      </c>
      <c r="D143" s="5">
        <v>22.71</v>
      </c>
      <c r="E143" s="5">
        <v>0</v>
      </c>
      <c r="F143" s="5">
        <v>0</v>
      </c>
      <c r="G143" s="5">
        <v>0</v>
      </c>
      <c r="H143" s="5">
        <v>9.08</v>
      </c>
      <c r="I143" s="5">
        <v>3.23</v>
      </c>
      <c r="J143" s="3">
        <f t="shared" si="58"/>
        <v>3.23</v>
      </c>
      <c r="K143" s="4">
        <v>26.54</v>
      </c>
      <c r="L143" s="3">
        <v>73.459999999999994</v>
      </c>
      <c r="M143" s="4">
        <v>84893</v>
      </c>
      <c r="N143" s="5">
        <v>4446</v>
      </c>
      <c r="O143" s="3">
        <f t="shared" si="59"/>
        <v>80447</v>
      </c>
      <c r="P143" s="5">
        <f t="shared" si="60"/>
        <v>5.2371809218663495E-2</v>
      </c>
      <c r="Q143" s="4">
        <f>ROUND($C143+MIN($D143:$E143)*(1-SUMIFS(PrefFlows!$C:$C,PrefFlows!$A:$A,INDEX($D$1:$E$1,MATCH(MIN($D143:$E143),$D143:$E143,0)),PrefFlows!$B:$B,$B143)),2)</f>
        <v>64.98</v>
      </c>
      <c r="R143" s="5">
        <f>ROUND(MAX($D143:$E143)+MIN($D143:$E143)*SUMIFS(PrefFlows!$C:$C,PrefFlows!$A:$A,INDEX($D$1:$E$1,MATCH(MIN($D143:$E143),$D143:$E143,0)),PrefFlows!$B:$B,$B143),2)</f>
        <v>22.71</v>
      </c>
      <c r="S143" s="5">
        <f t="shared" si="61"/>
        <v>0</v>
      </c>
      <c r="T143" s="5">
        <f t="shared" si="62"/>
        <v>9.08</v>
      </c>
      <c r="U143" s="3">
        <f t="shared" si="63"/>
        <v>3.23</v>
      </c>
      <c r="V143" s="6">
        <f t="shared" si="64"/>
        <v>-42.27</v>
      </c>
      <c r="W143" s="4">
        <f>ROUND($S143*SUMIFS(PrefFlows!$C:$C,PrefFlows!$A:$A,$S$1,PrefFlows!$B:$B,$B143)+$T143*SUMIFS(PrefFlows!$C:$C,PrefFlows!$A:$A,$T$1,PrefFlows!$B:$B,$B143)+$U143*SUMIFS(PrefFlows!$C:$C,PrefFlows!$A:$A,$U$1,PrefFlows!$B:$B,$B143),2)</f>
        <v>3.45</v>
      </c>
      <c r="X143" s="3">
        <f>ROUND($S143*(1-SUMIFS(PrefFlows!$C:$C,PrefFlows!$A:$A,$S$1,PrefFlows!$B:$B,$B143))+$T143*(1-SUMIFS(PrefFlows!$C:$C,PrefFlows!$A:$A,$T$1,PrefFlows!$B:$B,$B143))+$U143*(1-SUMIFS(PrefFlows!$C:$C,PrefFlows!$A:$A,$U$1,PrefFlows!$B:$B,$B143)),2)</f>
        <v>8.86</v>
      </c>
      <c r="Y143" s="4">
        <f t="shared" si="65"/>
        <v>3.83</v>
      </c>
      <c r="Z143" s="3">
        <f t="shared" si="66"/>
        <v>8.48</v>
      </c>
      <c r="AA143" s="4">
        <f t="shared" si="67"/>
        <v>0.28029999999999999</v>
      </c>
      <c r="AB143" s="5">
        <f t="shared" si="68"/>
        <v>0.31109999999999999</v>
      </c>
      <c r="AC143" s="5">
        <f t="shared" si="69"/>
        <v>3.0800000000000001E-2</v>
      </c>
      <c r="AD143" s="3">
        <v>5.9901693618290799E-2</v>
      </c>
      <c r="AE143" s="4">
        <f>ROUND(S143*(1-(Exhaust!$B$2+AD143)),2)</f>
        <v>0</v>
      </c>
      <c r="AF143" s="5">
        <f>ROUND(T143*(1-(Exhaust!$B$3+$AD143)),2)</f>
        <v>4.9000000000000004</v>
      </c>
      <c r="AG143" s="3">
        <f>ROUND(U143*(1-(Exhaust!$B$4+$AD143)),2)</f>
        <v>1.42</v>
      </c>
      <c r="AH143" s="4">
        <f>ROUND($AE143*(SUMIFS(PrefFlows!$C:$C,PrefFlows!$A:$A,$S$1,PrefFlows!$B:$B,$B143)+$AC143)+$AF143*(SUMIFS(PrefFlows!$C:$C,PrefFlows!$A:$A,$T$1,PrefFlows!$B:$B,$B143)+$AC143)+$AG143*(SUMIFS(PrefFlows!$C:$C,PrefFlows!$A:$A,$U$1,PrefFlows!$B:$B,$B143)+$AC143),2)</f>
        <v>1.89</v>
      </c>
      <c r="AI143" s="3">
        <f>ROUND($AE143*(1-(SUMIFS(PrefFlows!$C:$C,PrefFlows!$A:$A,$S$1,PrefFlows!$B:$B,$B143)+$AC143))+$AF143*(1-(SUMIFS(PrefFlows!$C:$C,PrefFlows!$A:$A,$T$1,PrefFlows!$B:$B,$B143)+$AC143))+$AG143*(1-(SUMIFS(PrefFlows!$C:$C,PrefFlows!$A:$A,$U$1,PrefFlows!$B:$B,$B143)+$AC143)),2)</f>
        <v>4.43</v>
      </c>
      <c r="AJ143" s="4">
        <f t="shared" si="70"/>
        <v>24.6</v>
      </c>
      <c r="AK143" s="3">
        <f t="shared" si="71"/>
        <v>69.41</v>
      </c>
      <c r="AL143" s="4">
        <f t="shared" si="72"/>
        <v>26.17</v>
      </c>
      <c r="AM143" s="3">
        <f t="shared" si="72"/>
        <v>73.83</v>
      </c>
      <c r="AN143" s="1">
        <f t="shared" si="54"/>
        <v>-23.46</v>
      </c>
      <c r="AO143" s="1">
        <f t="shared" si="55"/>
        <v>-23.75</v>
      </c>
      <c r="AP143" s="3">
        <f t="shared" si="56"/>
        <v>-23.83</v>
      </c>
      <c r="AQ143" s="1" t="b">
        <f t="shared" si="73"/>
        <v>0</v>
      </c>
      <c r="AR143" s="1" t="b">
        <f t="shared" si="73"/>
        <v>0</v>
      </c>
      <c r="AS143" s="3" t="b">
        <f t="shared" si="74"/>
        <v>0</v>
      </c>
      <c r="AT143" s="1">
        <f t="shared" si="75"/>
        <v>-0.28999999999999915</v>
      </c>
      <c r="AU143" s="1">
        <f t="shared" si="75"/>
        <v>-0.36999999999999744</v>
      </c>
      <c r="AV143" s="3">
        <f t="shared" si="76"/>
        <v>7.9999999999998295E-2</v>
      </c>
      <c r="AW143" s="1">
        <f>ROUND(IF($B143="NSW",N143*Meta!$B$6,N143),1)</f>
        <v>2921</v>
      </c>
      <c r="AX143" s="3">
        <f t="shared" si="57"/>
        <v>78031.600000000006</v>
      </c>
    </row>
    <row r="144" spans="1:50" x14ac:dyDescent="0.55000000000000004">
      <c r="A144" s="2" t="s">
        <v>155</v>
      </c>
      <c r="B144" s="3" t="s">
        <v>7</v>
      </c>
      <c r="C144" s="4">
        <v>48.65</v>
      </c>
      <c r="D144" s="5">
        <v>38.69</v>
      </c>
      <c r="E144" s="5">
        <v>0</v>
      </c>
      <c r="F144" s="5">
        <v>5.16</v>
      </c>
      <c r="G144" s="5">
        <v>0.96</v>
      </c>
      <c r="H144" s="5">
        <v>4.13</v>
      </c>
      <c r="I144" s="5">
        <v>3.37</v>
      </c>
      <c r="J144" s="3">
        <f t="shared" si="58"/>
        <v>7.57</v>
      </c>
      <c r="K144" s="4">
        <v>43.41</v>
      </c>
      <c r="L144" s="3">
        <v>56.59</v>
      </c>
      <c r="M144" s="4">
        <v>91092</v>
      </c>
      <c r="N144" s="5">
        <v>4246</v>
      </c>
      <c r="O144" s="3">
        <f t="shared" si="59"/>
        <v>86846</v>
      </c>
      <c r="P144" s="5">
        <f t="shared" si="60"/>
        <v>4.6612216220963419E-2</v>
      </c>
      <c r="Q144" s="4">
        <f>ROUND($C144+MIN($D144:$E144)*(1-SUMIFS(PrefFlows!$C:$C,PrefFlows!$A:$A,INDEX($D$1:$E$1,MATCH(MIN($D144:$E144),$D144:$E144,0)),PrefFlows!$B:$B,$B144)),2)</f>
        <v>48.65</v>
      </c>
      <c r="R144" s="5">
        <f>ROUND(MAX($D144:$E144)+MIN($D144:$E144)*SUMIFS(PrefFlows!$C:$C,PrefFlows!$A:$A,INDEX($D$1:$E$1,MATCH(MIN($D144:$E144),$D144:$E144,0)),PrefFlows!$B:$B,$B144),2)</f>
        <v>38.69</v>
      </c>
      <c r="S144" s="5">
        <f t="shared" si="61"/>
        <v>0.96</v>
      </c>
      <c r="T144" s="5">
        <f t="shared" si="62"/>
        <v>4.13</v>
      </c>
      <c r="U144" s="3">
        <f t="shared" si="63"/>
        <v>7.57</v>
      </c>
      <c r="V144" s="6">
        <f t="shared" si="64"/>
        <v>-9.9600000000000009</v>
      </c>
      <c r="W144" s="4">
        <f>ROUND($S144*SUMIFS(PrefFlows!$C:$C,PrefFlows!$A:$A,$S$1,PrefFlows!$B:$B,$B144)+$T144*SUMIFS(PrefFlows!$C:$C,PrefFlows!$A:$A,$T$1,PrefFlows!$B:$B,$B144)+$U144*SUMIFS(PrefFlows!$C:$C,PrefFlows!$A:$A,$U$1,PrefFlows!$B:$B,$B144),2)</f>
        <v>5.29</v>
      </c>
      <c r="X144" s="3">
        <f>ROUND($S144*(1-SUMIFS(PrefFlows!$C:$C,PrefFlows!$A:$A,$S$1,PrefFlows!$B:$B,$B144))+$T144*(1-SUMIFS(PrefFlows!$C:$C,PrefFlows!$A:$A,$T$1,PrefFlows!$B:$B,$B144))+$U144*(1-SUMIFS(PrefFlows!$C:$C,PrefFlows!$A:$A,$U$1,PrefFlows!$B:$B,$B144)),2)</f>
        <v>7.37</v>
      </c>
      <c r="Y144" s="4">
        <f t="shared" si="65"/>
        <v>4.72</v>
      </c>
      <c r="Z144" s="3">
        <f t="shared" si="66"/>
        <v>7.94</v>
      </c>
      <c r="AA144" s="4">
        <f t="shared" si="67"/>
        <v>0.41789999999999999</v>
      </c>
      <c r="AB144" s="5">
        <f t="shared" si="68"/>
        <v>0.37280000000000002</v>
      </c>
      <c r="AC144" s="5">
        <f t="shared" si="69"/>
        <v>-4.5100000000000001E-2</v>
      </c>
      <c r="AD144" s="3">
        <v>6.0428626296597197E-2</v>
      </c>
      <c r="AE144" s="4">
        <f>ROUND(S144*(1-(Exhaust!$B$2+AD144)),2)</f>
        <v>0.36</v>
      </c>
      <c r="AF144" s="5">
        <f>ROUND(T144*(1-(Exhaust!$B$3+$AD144)),2)</f>
        <v>2.23</v>
      </c>
      <c r="AG144" s="3">
        <f>ROUND(U144*(1-(Exhaust!$B$4+$AD144)),2)</f>
        <v>3.33</v>
      </c>
      <c r="AH144" s="4">
        <f>ROUND($AE144*(SUMIFS(PrefFlows!$C:$C,PrefFlows!$A:$A,$S$1,PrefFlows!$B:$B,$B144)+$AC144)+$AF144*(SUMIFS(PrefFlows!$C:$C,PrefFlows!$A:$A,$T$1,PrefFlows!$B:$B,$B144)+$AC144)+$AG144*(SUMIFS(PrefFlows!$C:$C,PrefFlows!$A:$A,$U$1,PrefFlows!$B:$B,$B144)+$AC144),2)</f>
        <v>2.13</v>
      </c>
      <c r="AI144" s="3">
        <f>ROUND($AE144*(1-(SUMIFS(PrefFlows!$C:$C,PrefFlows!$A:$A,$S$1,PrefFlows!$B:$B,$B144)+$AC144))+$AF144*(1-(SUMIFS(PrefFlows!$C:$C,PrefFlows!$A:$A,$T$1,PrefFlows!$B:$B,$B144)+$AC144))+$AG144*(1-(SUMIFS(PrefFlows!$C:$C,PrefFlows!$A:$A,$U$1,PrefFlows!$B:$B,$B144)+$AC144)),2)</f>
        <v>3.79</v>
      </c>
      <c r="AJ144" s="4">
        <f t="shared" si="70"/>
        <v>40.82</v>
      </c>
      <c r="AK144" s="3">
        <f t="shared" si="71"/>
        <v>52.44</v>
      </c>
      <c r="AL144" s="4">
        <f t="shared" si="72"/>
        <v>43.77</v>
      </c>
      <c r="AM144" s="3">
        <f t="shared" si="72"/>
        <v>56.23</v>
      </c>
      <c r="AN144" s="1">
        <f t="shared" si="54"/>
        <v>-6.59</v>
      </c>
      <c r="AO144" s="1">
        <f t="shared" si="55"/>
        <v>-6.19</v>
      </c>
      <c r="AP144" s="3">
        <f t="shared" si="56"/>
        <v>-6.23</v>
      </c>
      <c r="AQ144" s="1" t="b">
        <f t="shared" si="73"/>
        <v>0</v>
      </c>
      <c r="AR144" s="1" t="b">
        <f t="shared" si="73"/>
        <v>0</v>
      </c>
      <c r="AS144" s="3" t="b">
        <f t="shared" si="74"/>
        <v>0</v>
      </c>
      <c r="AT144" s="1">
        <f t="shared" si="75"/>
        <v>0.39999999999999947</v>
      </c>
      <c r="AU144" s="1">
        <f t="shared" si="75"/>
        <v>0.35999999999999943</v>
      </c>
      <c r="AV144" s="3">
        <f t="shared" si="76"/>
        <v>4.0000000000000036E-2</v>
      </c>
      <c r="AW144" s="1">
        <f>ROUND(IF($B144="NSW",N144*Meta!$B$6,N144),1)</f>
        <v>4246</v>
      </c>
      <c r="AX144" s="3">
        <f t="shared" si="57"/>
        <v>82390.899999999994</v>
      </c>
    </row>
    <row r="145" spans="1:50" x14ac:dyDescent="0.55000000000000004">
      <c r="A145" s="2" t="s">
        <v>156</v>
      </c>
      <c r="B145" s="3" t="s">
        <v>9</v>
      </c>
      <c r="C145" s="4">
        <v>36.17</v>
      </c>
      <c r="D145" s="5">
        <v>52.56</v>
      </c>
      <c r="E145" s="5">
        <v>0</v>
      </c>
      <c r="F145" s="5">
        <v>4.29</v>
      </c>
      <c r="G145" s="5">
        <v>0</v>
      </c>
      <c r="H145" s="5">
        <v>6.98</v>
      </c>
      <c r="I145" s="5">
        <v>0</v>
      </c>
      <c r="J145" s="3">
        <f t="shared" si="58"/>
        <v>4.29</v>
      </c>
      <c r="K145" s="4">
        <v>57.47</v>
      </c>
      <c r="L145" s="3">
        <v>42.53</v>
      </c>
      <c r="M145" s="4">
        <v>87568</v>
      </c>
      <c r="N145" s="5">
        <v>2266</v>
      </c>
      <c r="O145" s="3">
        <f t="shared" si="59"/>
        <v>85302</v>
      </c>
      <c r="P145" s="5">
        <f t="shared" si="60"/>
        <v>2.5877032706011327E-2</v>
      </c>
      <c r="Q145" s="4">
        <f>ROUND($C145+MIN($D145:$E145)*(1-SUMIFS(PrefFlows!$C:$C,PrefFlows!$A:$A,INDEX($D$1:$E$1,MATCH(MIN($D145:$E145),$D145:$E145,0)),PrefFlows!$B:$B,$B145)),2)</f>
        <v>36.17</v>
      </c>
      <c r="R145" s="5">
        <f>ROUND(MAX($D145:$E145)+MIN($D145:$E145)*SUMIFS(PrefFlows!$C:$C,PrefFlows!$A:$A,INDEX($D$1:$E$1,MATCH(MIN($D145:$E145),$D145:$E145,0)),PrefFlows!$B:$B,$B145),2)</f>
        <v>52.56</v>
      </c>
      <c r="S145" s="5">
        <f t="shared" si="61"/>
        <v>0</v>
      </c>
      <c r="T145" s="5">
        <f t="shared" si="62"/>
        <v>6.98</v>
      </c>
      <c r="U145" s="3">
        <f t="shared" si="63"/>
        <v>4.29</v>
      </c>
      <c r="V145" s="6">
        <f t="shared" si="64"/>
        <v>16.39</v>
      </c>
      <c r="W145" s="4">
        <f>ROUND($S145*SUMIFS(PrefFlows!$C:$C,PrefFlows!$A:$A,$S$1,PrefFlows!$B:$B,$B145)+$T145*SUMIFS(PrefFlows!$C:$C,PrefFlows!$A:$A,$T$1,PrefFlows!$B:$B,$B145)+$U145*SUMIFS(PrefFlows!$C:$C,PrefFlows!$A:$A,$U$1,PrefFlows!$B:$B,$B145),2)</f>
        <v>3.48</v>
      </c>
      <c r="X145" s="3">
        <f>ROUND($S145*(1-SUMIFS(PrefFlows!$C:$C,PrefFlows!$A:$A,$S$1,PrefFlows!$B:$B,$B145))+$T145*(1-SUMIFS(PrefFlows!$C:$C,PrefFlows!$A:$A,$T$1,PrefFlows!$B:$B,$B145))+$U145*(1-SUMIFS(PrefFlows!$C:$C,PrefFlows!$A:$A,$U$1,PrefFlows!$B:$B,$B145)),2)</f>
        <v>7.79</v>
      </c>
      <c r="Y145" s="4">
        <f t="shared" si="65"/>
        <v>4.91</v>
      </c>
      <c r="Z145" s="3">
        <f t="shared" si="66"/>
        <v>6.36</v>
      </c>
      <c r="AA145" s="4">
        <f t="shared" si="67"/>
        <v>0.30880000000000002</v>
      </c>
      <c r="AB145" s="5">
        <f t="shared" si="68"/>
        <v>0.43569999999999998</v>
      </c>
      <c r="AC145" s="5">
        <f t="shared" si="69"/>
        <v>0.12690000000000001</v>
      </c>
      <c r="AD145" s="3">
        <v>-9.1598553997256395E-3</v>
      </c>
      <c r="AE145" s="4">
        <f>ROUND(S145*(1-(Exhaust!$B$2+AD145)),2)</f>
        <v>0</v>
      </c>
      <c r="AF145" s="5">
        <f>ROUND(T145*(1-(Exhaust!$B$3+$AD145)),2)</f>
        <v>4.25</v>
      </c>
      <c r="AG145" s="3">
        <f>ROUND(U145*(1-(Exhaust!$B$4+$AD145)),2)</f>
        <v>2.1800000000000002</v>
      </c>
      <c r="AH145" s="4">
        <f>ROUND($AE145*(SUMIFS(PrefFlows!$C:$C,PrefFlows!$A:$A,$S$1,PrefFlows!$B:$B,$B145)+$AC145)+$AF145*(SUMIFS(PrefFlows!$C:$C,PrefFlows!$A:$A,$T$1,PrefFlows!$B:$B,$B145)+$AC145)+$AG145*(SUMIFS(PrefFlows!$C:$C,PrefFlows!$A:$A,$U$1,PrefFlows!$B:$B,$B145)+$AC145),2)</f>
        <v>2.7</v>
      </c>
      <c r="AI145" s="3">
        <f>ROUND($AE145*(1-(SUMIFS(PrefFlows!$C:$C,PrefFlows!$A:$A,$S$1,PrefFlows!$B:$B,$B145)+$AC145))+$AF145*(1-(SUMIFS(PrefFlows!$C:$C,PrefFlows!$A:$A,$T$1,PrefFlows!$B:$B,$B145)+$AC145))+$AG145*(1-(SUMIFS(PrefFlows!$C:$C,PrefFlows!$A:$A,$U$1,PrefFlows!$B:$B,$B145)+$AC145)),2)</f>
        <v>3.73</v>
      </c>
      <c r="AJ145" s="4">
        <f t="shared" si="70"/>
        <v>55.26</v>
      </c>
      <c r="AK145" s="3">
        <f t="shared" si="71"/>
        <v>39.9</v>
      </c>
      <c r="AL145" s="4">
        <f t="shared" si="72"/>
        <v>58.07</v>
      </c>
      <c r="AM145" s="3">
        <f t="shared" si="72"/>
        <v>41.93</v>
      </c>
      <c r="AN145" s="1">
        <f t="shared" si="54"/>
        <v>7.47</v>
      </c>
      <c r="AO145" s="1">
        <f t="shared" si="55"/>
        <v>8.27</v>
      </c>
      <c r="AP145" s="3">
        <f t="shared" si="56"/>
        <v>8.07</v>
      </c>
      <c r="AQ145" s="1" t="b">
        <f t="shared" si="73"/>
        <v>0</v>
      </c>
      <c r="AR145" s="1" t="b">
        <f t="shared" si="73"/>
        <v>0</v>
      </c>
      <c r="AS145" s="3" t="b">
        <f t="shared" si="74"/>
        <v>0</v>
      </c>
      <c r="AT145" s="1">
        <f t="shared" si="75"/>
        <v>0.79999999999999982</v>
      </c>
      <c r="AU145" s="1">
        <f t="shared" si="75"/>
        <v>0.60000000000000053</v>
      </c>
      <c r="AV145" s="3">
        <f t="shared" si="76"/>
        <v>0.19999999999999929</v>
      </c>
      <c r="AW145" s="1">
        <f>ROUND(IF($B145="NSW",N145*Meta!$B$6,N145),1)</f>
        <v>2266</v>
      </c>
      <c r="AX145" s="3">
        <f t="shared" si="57"/>
        <v>81934.8</v>
      </c>
    </row>
    <row r="146" spans="1:50" x14ac:dyDescent="0.55000000000000004">
      <c r="A146" s="2" t="s">
        <v>157</v>
      </c>
      <c r="B146" s="3" t="s">
        <v>12</v>
      </c>
      <c r="C146" s="4">
        <v>27.4</v>
      </c>
      <c r="D146" s="5">
        <v>54.53</v>
      </c>
      <c r="E146" s="5">
        <v>0</v>
      </c>
      <c r="F146" s="5">
        <v>0.54</v>
      </c>
      <c r="G146" s="5">
        <v>0</v>
      </c>
      <c r="H146" s="5">
        <v>12.53</v>
      </c>
      <c r="I146" s="5">
        <v>5</v>
      </c>
      <c r="J146" s="3">
        <f t="shared" si="58"/>
        <v>5.54</v>
      </c>
      <c r="K146" s="4">
        <v>59.5</v>
      </c>
      <c r="L146" s="3">
        <v>40.5</v>
      </c>
      <c r="M146" s="4">
        <v>88253</v>
      </c>
      <c r="N146" s="5">
        <v>3162</v>
      </c>
      <c r="O146" s="3">
        <f t="shared" si="59"/>
        <v>85091</v>
      </c>
      <c r="P146" s="5">
        <f t="shared" si="60"/>
        <v>3.5828810352056019E-2</v>
      </c>
      <c r="Q146" s="4">
        <f>ROUND($C146+MIN($D146:$E146)*(1-SUMIFS(PrefFlows!$C:$C,PrefFlows!$A:$A,INDEX($D$1:$E$1,MATCH(MIN($D146:$E146),$D146:$E146,0)),PrefFlows!$B:$B,$B146)),2)</f>
        <v>27.4</v>
      </c>
      <c r="R146" s="5">
        <f>ROUND(MAX($D146:$E146)+MIN($D146:$E146)*SUMIFS(PrefFlows!$C:$C,PrefFlows!$A:$A,INDEX($D$1:$E$1,MATCH(MIN($D146:$E146),$D146:$E146,0)),PrefFlows!$B:$B,$B146),2)</f>
        <v>54.53</v>
      </c>
      <c r="S146" s="5">
        <f t="shared" si="61"/>
        <v>0</v>
      </c>
      <c r="T146" s="5">
        <f t="shared" si="62"/>
        <v>12.53</v>
      </c>
      <c r="U146" s="3">
        <f t="shared" si="63"/>
        <v>5.54</v>
      </c>
      <c r="V146" s="6">
        <f t="shared" si="64"/>
        <v>27.13</v>
      </c>
      <c r="W146" s="4">
        <f>ROUND($S146*SUMIFS(PrefFlows!$C:$C,PrefFlows!$A:$A,$S$1,PrefFlows!$B:$B,$B146)+$T146*SUMIFS(PrefFlows!$C:$C,PrefFlows!$A:$A,$T$1,PrefFlows!$B:$B,$B146)+$U146*SUMIFS(PrefFlows!$C:$C,PrefFlows!$A:$A,$U$1,PrefFlows!$B:$B,$B146),2)</f>
        <v>5.34</v>
      </c>
      <c r="X146" s="3">
        <f>ROUND($S146*(1-SUMIFS(PrefFlows!$C:$C,PrefFlows!$A:$A,$S$1,PrefFlows!$B:$B,$B146))+$T146*(1-SUMIFS(PrefFlows!$C:$C,PrefFlows!$A:$A,$T$1,PrefFlows!$B:$B,$B146))+$U146*(1-SUMIFS(PrefFlows!$C:$C,PrefFlows!$A:$A,$U$1,PrefFlows!$B:$B,$B146)),2)</f>
        <v>12.73</v>
      </c>
      <c r="Y146" s="4">
        <f t="shared" si="65"/>
        <v>4.97</v>
      </c>
      <c r="Z146" s="3">
        <f t="shared" si="66"/>
        <v>13.1</v>
      </c>
      <c r="AA146" s="4">
        <f t="shared" si="67"/>
        <v>0.29549999999999998</v>
      </c>
      <c r="AB146" s="5">
        <f t="shared" si="68"/>
        <v>0.27500000000000002</v>
      </c>
      <c r="AC146" s="5">
        <f t="shared" si="69"/>
        <v>-2.0500000000000001E-2</v>
      </c>
      <c r="AD146" s="3">
        <v>2.93312598533273E-2</v>
      </c>
      <c r="AE146" s="4">
        <f>ROUND(S146*(1-(Exhaust!$B$2+AD146)),2)</f>
        <v>0</v>
      </c>
      <c r="AF146" s="5">
        <f>ROUND(T146*(1-(Exhaust!$B$3+$AD146)),2)</f>
        <v>7.15</v>
      </c>
      <c r="AG146" s="3">
        <f>ROUND(U146*(1-(Exhaust!$B$4+$AD146)),2)</f>
        <v>2.61</v>
      </c>
      <c r="AH146" s="4">
        <f>ROUND($AE146*(SUMIFS(PrefFlows!$C:$C,PrefFlows!$A:$A,$S$1,PrefFlows!$B:$B,$B146)+$AC146)+$AF146*(SUMIFS(PrefFlows!$C:$C,PrefFlows!$A:$A,$T$1,PrefFlows!$B:$B,$B146)+$AC146)+$AG146*(SUMIFS(PrefFlows!$C:$C,PrefFlows!$A:$A,$U$1,PrefFlows!$B:$B,$B146)+$AC146),2)</f>
        <v>2.5499999999999998</v>
      </c>
      <c r="AI146" s="3">
        <f>ROUND($AE146*(1-(SUMIFS(PrefFlows!$C:$C,PrefFlows!$A:$A,$S$1,PrefFlows!$B:$B,$B146)+$AC146))+$AF146*(1-(SUMIFS(PrefFlows!$C:$C,PrefFlows!$A:$A,$T$1,PrefFlows!$B:$B,$B146)+$AC146))+$AG146*(1-(SUMIFS(PrefFlows!$C:$C,PrefFlows!$A:$A,$U$1,PrefFlows!$B:$B,$B146)+$AC146)),2)</f>
        <v>7.21</v>
      </c>
      <c r="AJ146" s="4">
        <f t="shared" si="70"/>
        <v>57.08</v>
      </c>
      <c r="AK146" s="3">
        <f t="shared" si="71"/>
        <v>34.61</v>
      </c>
      <c r="AL146" s="4">
        <f t="shared" si="72"/>
        <v>62.25</v>
      </c>
      <c r="AM146" s="3">
        <f t="shared" si="72"/>
        <v>37.75</v>
      </c>
      <c r="AN146" s="1">
        <f t="shared" si="54"/>
        <v>9.5</v>
      </c>
      <c r="AO146" s="1">
        <f t="shared" si="55"/>
        <v>12.54</v>
      </c>
      <c r="AP146" s="3">
        <f t="shared" si="56"/>
        <v>12.25</v>
      </c>
      <c r="AQ146" s="1" t="b">
        <f t="shared" si="73"/>
        <v>0</v>
      </c>
      <c r="AR146" s="1" t="b">
        <f t="shared" si="73"/>
        <v>0</v>
      </c>
      <c r="AS146" s="3" t="b">
        <f t="shared" si="74"/>
        <v>0</v>
      </c>
      <c r="AT146" s="1">
        <f t="shared" si="75"/>
        <v>3.0399999999999991</v>
      </c>
      <c r="AU146" s="1">
        <f t="shared" si="75"/>
        <v>2.75</v>
      </c>
      <c r="AV146" s="3">
        <f t="shared" si="76"/>
        <v>0.28999999999999915</v>
      </c>
      <c r="AW146" s="1">
        <f>ROUND(IF($B146="NSW",N146*Meta!$B$6,N146),1)</f>
        <v>2077.4</v>
      </c>
      <c r="AX146" s="3">
        <f t="shared" si="57"/>
        <v>79687</v>
      </c>
    </row>
    <row r="147" spans="1:50" x14ac:dyDescent="0.55000000000000004">
      <c r="A147" s="2" t="s">
        <v>158</v>
      </c>
      <c r="B147" s="3" t="s">
        <v>12</v>
      </c>
      <c r="C147" s="4">
        <v>61.81</v>
      </c>
      <c r="D147" s="5">
        <v>26.09</v>
      </c>
      <c r="E147" s="5">
        <v>0</v>
      </c>
      <c r="F147" s="5">
        <v>2.5</v>
      </c>
      <c r="G147" s="5">
        <v>0</v>
      </c>
      <c r="H147" s="5">
        <v>6.6</v>
      </c>
      <c r="I147" s="5">
        <v>3</v>
      </c>
      <c r="J147" s="3">
        <f t="shared" si="58"/>
        <v>5.5</v>
      </c>
      <c r="K147" s="4">
        <v>29.67</v>
      </c>
      <c r="L147" s="3">
        <v>70.33</v>
      </c>
      <c r="M147" s="4">
        <v>88331</v>
      </c>
      <c r="N147" s="5">
        <v>7997</v>
      </c>
      <c r="O147" s="3">
        <f t="shared" si="59"/>
        <v>80334</v>
      </c>
      <c r="P147" s="5">
        <f t="shared" si="60"/>
        <v>9.053446694818354E-2</v>
      </c>
      <c r="Q147" s="4">
        <f>ROUND($C147+MIN($D147:$E147)*(1-SUMIFS(PrefFlows!$C:$C,PrefFlows!$A:$A,INDEX($D$1:$E$1,MATCH(MIN($D147:$E147),$D147:$E147,0)),PrefFlows!$B:$B,$B147)),2)</f>
        <v>61.81</v>
      </c>
      <c r="R147" s="5">
        <f>ROUND(MAX($D147:$E147)+MIN($D147:$E147)*SUMIFS(PrefFlows!$C:$C,PrefFlows!$A:$A,INDEX($D$1:$E$1,MATCH(MIN($D147:$E147),$D147:$E147,0)),PrefFlows!$B:$B,$B147),2)</f>
        <v>26.09</v>
      </c>
      <c r="S147" s="5">
        <f t="shared" si="61"/>
        <v>0</v>
      </c>
      <c r="T147" s="5">
        <f t="shared" si="62"/>
        <v>6.6</v>
      </c>
      <c r="U147" s="3">
        <f t="shared" si="63"/>
        <v>5.5</v>
      </c>
      <c r="V147" s="6">
        <f t="shared" si="64"/>
        <v>-35.72</v>
      </c>
      <c r="W147" s="4">
        <f>ROUND($S147*SUMIFS(PrefFlows!$C:$C,PrefFlows!$A:$A,$S$1,PrefFlows!$B:$B,$B147)+$T147*SUMIFS(PrefFlows!$C:$C,PrefFlows!$A:$A,$T$1,PrefFlows!$B:$B,$B147)+$U147*SUMIFS(PrefFlows!$C:$C,PrefFlows!$A:$A,$U$1,PrefFlows!$B:$B,$B147),2)</f>
        <v>4.18</v>
      </c>
      <c r="X147" s="3">
        <f>ROUND($S147*(1-SUMIFS(PrefFlows!$C:$C,PrefFlows!$A:$A,$S$1,PrefFlows!$B:$B,$B147))+$T147*(1-SUMIFS(PrefFlows!$C:$C,PrefFlows!$A:$A,$T$1,PrefFlows!$B:$B,$B147))+$U147*(1-SUMIFS(PrefFlows!$C:$C,PrefFlows!$A:$A,$U$1,PrefFlows!$B:$B,$B147)),2)</f>
        <v>7.92</v>
      </c>
      <c r="Y147" s="4">
        <f t="shared" si="65"/>
        <v>3.58</v>
      </c>
      <c r="Z147" s="3">
        <f t="shared" si="66"/>
        <v>8.52</v>
      </c>
      <c r="AA147" s="4">
        <f t="shared" si="67"/>
        <v>0.34549999999999997</v>
      </c>
      <c r="AB147" s="5">
        <f t="shared" si="68"/>
        <v>0.2959</v>
      </c>
      <c r="AC147" s="5">
        <f t="shared" si="69"/>
        <v>-4.9599999999999998E-2</v>
      </c>
      <c r="AD147" s="3">
        <v>9.9506711276916807E-2</v>
      </c>
      <c r="AE147" s="4">
        <f>ROUND(S147*(1-(Exhaust!$B$2+AD147)),2)</f>
        <v>0</v>
      </c>
      <c r="AF147" s="5">
        <f>ROUND(T147*(1-(Exhaust!$B$3+$AD147)),2)</f>
        <v>3.3</v>
      </c>
      <c r="AG147" s="3">
        <f>ROUND(U147*(1-(Exhaust!$B$4+$AD147)),2)</f>
        <v>2.2000000000000002</v>
      </c>
      <c r="AH147" s="4">
        <f>ROUND($AE147*(SUMIFS(PrefFlows!$C:$C,PrefFlows!$A:$A,$S$1,PrefFlows!$B:$B,$B147)+$AC147)+$AF147*(SUMIFS(PrefFlows!$C:$C,PrefFlows!$A:$A,$T$1,PrefFlows!$B:$B,$B147)+$AC147)+$AG147*(SUMIFS(PrefFlows!$C:$C,PrefFlows!$A:$A,$U$1,PrefFlows!$B:$B,$B147)+$AC147),2)</f>
        <v>1.52</v>
      </c>
      <c r="AI147" s="3">
        <f>ROUND($AE147*(1-(SUMIFS(PrefFlows!$C:$C,PrefFlows!$A:$A,$S$1,PrefFlows!$B:$B,$B147)+$AC147))+$AF147*(1-(SUMIFS(PrefFlows!$C:$C,PrefFlows!$A:$A,$T$1,PrefFlows!$B:$B,$B147)+$AC147))+$AG147*(1-(SUMIFS(PrefFlows!$C:$C,PrefFlows!$A:$A,$U$1,PrefFlows!$B:$B,$B147)+$AC147)),2)</f>
        <v>3.98</v>
      </c>
      <c r="AJ147" s="4">
        <f t="shared" si="70"/>
        <v>27.61</v>
      </c>
      <c r="AK147" s="3">
        <f t="shared" si="71"/>
        <v>65.790000000000006</v>
      </c>
      <c r="AL147" s="4">
        <f t="shared" si="72"/>
        <v>29.56</v>
      </c>
      <c r="AM147" s="3">
        <f t="shared" si="72"/>
        <v>70.44</v>
      </c>
      <c r="AN147" s="1">
        <f t="shared" si="54"/>
        <v>-20.329999999999998</v>
      </c>
      <c r="AO147" s="1">
        <f t="shared" si="55"/>
        <v>-20.32</v>
      </c>
      <c r="AP147" s="3">
        <f t="shared" si="56"/>
        <v>-20.440000000000001</v>
      </c>
      <c r="AQ147" s="1" t="b">
        <f t="shared" si="73"/>
        <v>0</v>
      </c>
      <c r="AR147" s="1" t="b">
        <f t="shared" si="73"/>
        <v>0</v>
      </c>
      <c r="AS147" s="3" t="b">
        <f t="shared" si="74"/>
        <v>0</v>
      </c>
      <c r="AT147" s="1">
        <f t="shared" si="75"/>
        <v>9.9999999999980105E-3</v>
      </c>
      <c r="AU147" s="1">
        <f t="shared" si="75"/>
        <v>-0.11000000000000298</v>
      </c>
      <c r="AV147" s="3">
        <f t="shared" si="76"/>
        <v>0.12000000000000099</v>
      </c>
      <c r="AW147" s="1">
        <f>ROUND(IF($B147="NSW",N147*Meta!$B$6,N147),1)</f>
        <v>5254</v>
      </c>
      <c r="AX147" s="3">
        <f t="shared" si="57"/>
        <v>79326.8</v>
      </c>
    </row>
    <row r="148" spans="1:50" x14ac:dyDescent="0.55000000000000004">
      <c r="A148" s="2" t="s">
        <v>159</v>
      </c>
      <c r="B148" s="3" t="s">
        <v>12</v>
      </c>
      <c r="C148" s="4">
        <v>30.48</v>
      </c>
      <c r="D148" s="5">
        <v>50.37</v>
      </c>
      <c r="E148" s="5">
        <v>0</v>
      </c>
      <c r="F148" s="5">
        <v>0.28999999999999998</v>
      </c>
      <c r="G148" s="5">
        <v>0</v>
      </c>
      <c r="H148" s="5">
        <v>14.96</v>
      </c>
      <c r="I148" s="5">
        <v>3.9</v>
      </c>
      <c r="J148" s="3">
        <f t="shared" si="58"/>
        <v>4.1900000000000004</v>
      </c>
      <c r="K148" s="4">
        <v>53.85</v>
      </c>
      <c r="L148" s="3">
        <v>46.15</v>
      </c>
      <c r="M148" s="4">
        <v>92820</v>
      </c>
      <c r="N148" s="5">
        <v>4548</v>
      </c>
      <c r="O148" s="3">
        <f t="shared" si="59"/>
        <v>88272</v>
      </c>
      <c r="P148" s="5">
        <f t="shared" si="60"/>
        <v>4.8998060762766645E-2</v>
      </c>
      <c r="Q148" s="4">
        <f>ROUND($C148+MIN($D148:$E148)*(1-SUMIFS(PrefFlows!$C:$C,PrefFlows!$A:$A,INDEX($D$1:$E$1,MATCH(MIN($D148:$E148),$D148:$E148,0)),PrefFlows!$B:$B,$B148)),2)</f>
        <v>30.48</v>
      </c>
      <c r="R148" s="5">
        <f>ROUND(MAX($D148:$E148)+MIN($D148:$E148)*SUMIFS(PrefFlows!$C:$C,PrefFlows!$A:$A,INDEX($D$1:$E$1,MATCH(MIN($D148:$E148),$D148:$E148,0)),PrefFlows!$B:$B,$B148),2)</f>
        <v>50.37</v>
      </c>
      <c r="S148" s="5">
        <f t="shared" si="61"/>
        <v>0</v>
      </c>
      <c r="T148" s="5">
        <f t="shared" si="62"/>
        <v>14.96</v>
      </c>
      <c r="U148" s="3">
        <f t="shared" si="63"/>
        <v>4.1900000000000004</v>
      </c>
      <c r="V148" s="6">
        <f t="shared" si="64"/>
        <v>19.89</v>
      </c>
      <c r="W148" s="4">
        <f>ROUND($S148*SUMIFS(PrefFlows!$C:$C,PrefFlows!$A:$A,$S$1,PrefFlows!$B:$B,$B148)+$T148*SUMIFS(PrefFlows!$C:$C,PrefFlows!$A:$A,$T$1,PrefFlows!$B:$B,$B148)+$U148*SUMIFS(PrefFlows!$C:$C,PrefFlows!$A:$A,$U$1,PrefFlows!$B:$B,$B148),2)</f>
        <v>5.09</v>
      </c>
      <c r="X148" s="3">
        <f>ROUND($S148*(1-SUMIFS(PrefFlows!$C:$C,PrefFlows!$A:$A,$S$1,PrefFlows!$B:$B,$B148))+$T148*(1-SUMIFS(PrefFlows!$C:$C,PrefFlows!$A:$A,$T$1,PrefFlows!$B:$B,$B148))+$U148*(1-SUMIFS(PrefFlows!$C:$C,PrefFlows!$A:$A,$U$1,PrefFlows!$B:$B,$B148)),2)</f>
        <v>14.06</v>
      </c>
      <c r="Y148" s="4">
        <f t="shared" si="65"/>
        <v>3.48</v>
      </c>
      <c r="Z148" s="3">
        <f t="shared" si="66"/>
        <v>15.67</v>
      </c>
      <c r="AA148" s="4">
        <f t="shared" si="67"/>
        <v>0.26579999999999998</v>
      </c>
      <c r="AB148" s="5">
        <f t="shared" si="68"/>
        <v>0.1817</v>
      </c>
      <c r="AC148" s="5">
        <f t="shared" si="69"/>
        <v>-8.4099999999999994E-2</v>
      </c>
      <c r="AD148" s="3">
        <v>4.5166480170945697E-2</v>
      </c>
      <c r="AE148" s="4">
        <f>ROUND(S148*(1-(Exhaust!$B$2+AD148)),2)</f>
        <v>0</v>
      </c>
      <c r="AF148" s="5">
        <f>ROUND(T148*(1-(Exhaust!$B$3+$AD148)),2)</f>
        <v>8.3000000000000007</v>
      </c>
      <c r="AG148" s="3">
        <f>ROUND(U148*(1-(Exhaust!$B$4+$AD148)),2)</f>
        <v>1.91</v>
      </c>
      <c r="AH148" s="4">
        <f>ROUND($AE148*(SUMIFS(PrefFlows!$C:$C,PrefFlows!$A:$A,$S$1,PrefFlows!$B:$B,$B148)+$AC148)+$AF148*(SUMIFS(PrefFlows!$C:$C,PrefFlows!$A:$A,$T$1,PrefFlows!$B:$B,$B148)+$AC148)+$AG148*(SUMIFS(PrefFlows!$C:$C,PrefFlows!$A:$A,$U$1,PrefFlows!$B:$B,$B148)+$AC148),2)</f>
        <v>1.75</v>
      </c>
      <c r="AI148" s="3">
        <f>ROUND($AE148*(1-(SUMIFS(PrefFlows!$C:$C,PrefFlows!$A:$A,$S$1,PrefFlows!$B:$B,$B148)+$AC148))+$AF148*(1-(SUMIFS(PrefFlows!$C:$C,PrefFlows!$A:$A,$T$1,PrefFlows!$B:$B,$B148)+$AC148))+$AG148*(1-(SUMIFS(PrefFlows!$C:$C,PrefFlows!$A:$A,$U$1,PrefFlows!$B:$B,$B148)+$AC148)),2)</f>
        <v>8.4600000000000009</v>
      </c>
      <c r="AJ148" s="4">
        <f t="shared" si="70"/>
        <v>52.12</v>
      </c>
      <c r="AK148" s="3">
        <f t="shared" si="71"/>
        <v>38.94</v>
      </c>
      <c r="AL148" s="4">
        <f t="shared" si="72"/>
        <v>57.24</v>
      </c>
      <c r="AM148" s="3">
        <f t="shared" si="72"/>
        <v>42.76</v>
      </c>
      <c r="AN148" s="1">
        <f t="shared" si="54"/>
        <v>3.85</v>
      </c>
      <c r="AO148" s="1">
        <f t="shared" si="55"/>
        <v>7.46</v>
      </c>
      <c r="AP148" s="3">
        <f t="shared" si="56"/>
        <v>7.24</v>
      </c>
      <c r="AQ148" s="1" t="b">
        <f t="shared" si="73"/>
        <v>0</v>
      </c>
      <c r="AR148" s="1" t="b">
        <f t="shared" si="73"/>
        <v>0</v>
      </c>
      <c r="AS148" s="3" t="b">
        <f t="shared" si="74"/>
        <v>0</v>
      </c>
      <c r="AT148" s="1">
        <f t="shared" si="75"/>
        <v>3.61</v>
      </c>
      <c r="AU148" s="1">
        <f t="shared" si="75"/>
        <v>3.39</v>
      </c>
      <c r="AV148" s="3">
        <f t="shared" si="76"/>
        <v>0.21999999999999975</v>
      </c>
      <c r="AW148" s="1">
        <f>ROUND(IF($B148="NSW",N148*Meta!$B$6,N148),1)</f>
        <v>2988</v>
      </c>
      <c r="AX148" s="3">
        <f t="shared" si="57"/>
        <v>82761.8</v>
      </c>
    </row>
    <row r="149" spans="1:50" x14ac:dyDescent="0.55000000000000004">
      <c r="A149" s="2" t="s">
        <v>160</v>
      </c>
      <c r="B149" s="3" t="s">
        <v>12</v>
      </c>
      <c r="C149" s="4">
        <v>58.83</v>
      </c>
      <c r="D149" s="5">
        <v>30.17</v>
      </c>
      <c r="E149" s="5">
        <v>0</v>
      </c>
      <c r="F149" s="5">
        <v>2.41</v>
      </c>
      <c r="G149" s="5">
        <v>0</v>
      </c>
      <c r="H149" s="5">
        <v>3.79</v>
      </c>
      <c r="I149" s="5">
        <v>4.8</v>
      </c>
      <c r="J149" s="3">
        <f t="shared" si="58"/>
        <v>7.21</v>
      </c>
      <c r="K149" s="4">
        <v>34.76</v>
      </c>
      <c r="L149" s="3">
        <v>65.239999999999995</v>
      </c>
      <c r="M149" s="4">
        <v>85279</v>
      </c>
      <c r="N149" s="5">
        <v>5569</v>
      </c>
      <c r="O149" s="3">
        <f t="shared" si="59"/>
        <v>79710</v>
      </c>
      <c r="P149" s="5">
        <f t="shared" si="60"/>
        <v>6.5303298584645689E-2</v>
      </c>
      <c r="Q149" s="4">
        <f>ROUND($C149+MIN($D149:$E149)*(1-SUMIFS(PrefFlows!$C:$C,PrefFlows!$A:$A,INDEX($D$1:$E$1,MATCH(MIN($D149:$E149),$D149:$E149,0)),PrefFlows!$B:$B,$B149)),2)</f>
        <v>58.83</v>
      </c>
      <c r="R149" s="5">
        <f>ROUND(MAX($D149:$E149)+MIN($D149:$E149)*SUMIFS(PrefFlows!$C:$C,PrefFlows!$A:$A,INDEX($D$1:$E$1,MATCH(MIN($D149:$E149),$D149:$E149,0)),PrefFlows!$B:$B,$B149),2)</f>
        <v>30.17</v>
      </c>
      <c r="S149" s="5">
        <f t="shared" si="61"/>
        <v>0</v>
      </c>
      <c r="T149" s="5">
        <f t="shared" si="62"/>
        <v>3.79</v>
      </c>
      <c r="U149" s="3">
        <f t="shared" si="63"/>
        <v>7.21</v>
      </c>
      <c r="V149" s="6">
        <f t="shared" si="64"/>
        <v>-28.66</v>
      </c>
      <c r="W149" s="4">
        <f>ROUND($S149*SUMIFS(PrefFlows!$C:$C,PrefFlows!$A:$A,$S$1,PrefFlows!$B:$B,$B149)+$T149*SUMIFS(PrefFlows!$C:$C,PrefFlows!$A:$A,$T$1,PrefFlows!$B:$B,$B149)+$U149*SUMIFS(PrefFlows!$C:$C,PrefFlows!$A:$A,$U$1,PrefFlows!$B:$B,$B149),2)</f>
        <v>4.54</v>
      </c>
      <c r="X149" s="3">
        <f>ROUND($S149*(1-SUMIFS(PrefFlows!$C:$C,PrefFlows!$A:$A,$S$1,PrefFlows!$B:$B,$B149))+$T149*(1-SUMIFS(PrefFlows!$C:$C,PrefFlows!$A:$A,$T$1,PrefFlows!$B:$B,$B149))+$U149*(1-SUMIFS(PrefFlows!$C:$C,PrefFlows!$A:$A,$U$1,PrefFlows!$B:$B,$B149)),2)</f>
        <v>6.46</v>
      </c>
      <c r="Y149" s="4">
        <f t="shared" si="65"/>
        <v>4.59</v>
      </c>
      <c r="Z149" s="3">
        <f t="shared" si="66"/>
        <v>6.41</v>
      </c>
      <c r="AA149" s="4">
        <f t="shared" si="67"/>
        <v>0.41270000000000001</v>
      </c>
      <c r="AB149" s="5">
        <f t="shared" si="68"/>
        <v>0.4173</v>
      </c>
      <c r="AC149" s="5">
        <f t="shared" si="69"/>
        <v>4.5999999999999999E-3</v>
      </c>
      <c r="AD149" s="3">
        <v>8.2351287852746105E-2</v>
      </c>
      <c r="AE149" s="4">
        <f>ROUND(S149*(1-(Exhaust!$B$2+AD149)),2)</f>
        <v>0</v>
      </c>
      <c r="AF149" s="5">
        <f>ROUND(T149*(1-(Exhaust!$B$3+$AD149)),2)</f>
        <v>1.96</v>
      </c>
      <c r="AG149" s="3">
        <f>ROUND(U149*(1-(Exhaust!$B$4+$AD149)),2)</f>
        <v>3.01</v>
      </c>
      <c r="AH149" s="4">
        <f>ROUND($AE149*(SUMIFS(PrefFlows!$C:$C,PrefFlows!$A:$A,$S$1,PrefFlows!$B:$B,$B149)+$AC149)+$AF149*(SUMIFS(PrefFlows!$C:$C,PrefFlows!$A:$A,$T$1,PrefFlows!$B:$B,$B149)+$AC149)+$AG149*(SUMIFS(PrefFlows!$C:$C,PrefFlows!$A:$A,$U$1,PrefFlows!$B:$B,$B149)+$AC149),2)</f>
        <v>1.99</v>
      </c>
      <c r="AI149" s="3">
        <f>ROUND($AE149*(1-(SUMIFS(PrefFlows!$C:$C,PrefFlows!$A:$A,$S$1,PrefFlows!$B:$B,$B149)+$AC149))+$AF149*(1-(SUMIFS(PrefFlows!$C:$C,PrefFlows!$A:$A,$T$1,PrefFlows!$B:$B,$B149)+$AC149))+$AG149*(1-(SUMIFS(PrefFlows!$C:$C,PrefFlows!$A:$A,$U$1,PrefFlows!$B:$B,$B149)+$AC149)),2)</f>
        <v>2.98</v>
      </c>
      <c r="AJ149" s="4">
        <f t="shared" si="70"/>
        <v>32.159999999999997</v>
      </c>
      <c r="AK149" s="3">
        <f t="shared" si="71"/>
        <v>61.81</v>
      </c>
      <c r="AL149" s="4">
        <f t="shared" si="72"/>
        <v>34.22</v>
      </c>
      <c r="AM149" s="3">
        <f t="shared" si="72"/>
        <v>65.78</v>
      </c>
      <c r="AN149" s="1">
        <f t="shared" si="54"/>
        <v>-15.24</v>
      </c>
      <c r="AO149" s="1">
        <f t="shared" si="55"/>
        <v>-15.63</v>
      </c>
      <c r="AP149" s="3">
        <f t="shared" si="56"/>
        <v>-15.78</v>
      </c>
      <c r="AQ149" s="1" t="b">
        <f t="shared" si="73"/>
        <v>0</v>
      </c>
      <c r="AR149" s="1" t="b">
        <f t="shared" si="73"/>
        <v>0</v>
      </c>
      <c r="AS149" s="3" t="b">
        <f t="shared" si="74"/>
        <v>0</v>
      </c>
      <c r="AT149" s="1">
        <f t="shared" si="75"/>
        <v>-0.39000000000000057</v>
      </c>
      <c r="AU149" s="1">
        <f t="shared" si="75"/>
        <v>-0.53999999999999915</v>
      </c>
      <c r="AV149" s="3">
        <f t="shared" si="76"/>
        <v>0.14999999999999858</v>
      </c>
      <c r="AW149" s="1">
        <f>ROUND(IF($B149="NSW",N149*Meta!$B$6,N149),1)</f>
        <v>3658.8</v>
      </c>
      <c r="AX149" s="3">
        <f t="shared" si="57"/>
        <v>77912.600000000006</v>
      </c>
    </row>
    <row r="150" spans="1:50" x14ac:dyDescent="0.55000000000000004">
      <c r="A150" s="2" t="s">
        <v>161</v>
      </c>
      <c r="B150" s="3" t="s">
        <v>22</v>
      </c>
      <c r="C150" s="4">
        <v>30.7</v>
      </c>
      <c r="D150" s="5">
        <v>0</v>
      </c>
      <c r="E150" s="5">
        <v>48.59</v>
      </c>
      <c r="F150" s="5">
        <v>3.46</v>
      </c>
      <c r="G150" s="5">
        <v>1.24</v>
      </c>
      <c r="H150" s="5">
        <v>8.1999999999999993</v>
      </c>
      <c r="I150" s="5">
        <v>9.0500000000000007</v>
      </c>
      <c r="J150" s="3">
        <f t="shared" si="58"/>
        <v>11.27</v>
      </c>
      <c r="K150" s="4">
        <v>58.47</v>
      </c>
      <c r="L150" s="3">
        <v>41.53</v>
      </c>
      <c r="M150" s="4">
        <v>83976</v>
      </c>
      <c r="N150" s="5">
        <v>3343</v>
      </c>
      <c r="O150" s="3">
        <f t="shared" si="59"/>
        <v>80633</v>
      </c>
      <c r="P150" s="5">
        <f t="shared" si="60"/>
        <v>3.9808993045632082E-2</v>
      </c>
      <c r="Q150" s="4">
        <f>ROUND($C150+MIN($D150:$E150)*(1-SUMIFS(PrefFlows!$C:$C,PrefFlows!$A:$A,INDEX($D$1:$E$1,MATCH(MIN($D150:$E150),$D150:$E150,0)),PrefFlows!$B:$B,$B150)),2)</f>
        <v>30.7</v>
      </c>
      <c r="R150" s="5">
        <f>ROUND(MAX($D150:$E150)+MIN($D150:$E150)*SUMIFS(PrefFlows!$C:$C,PrefFlows!$A:$A,INDEX($D$1:$E$1,MATCH(MIN($D150:$E150),$D150:$E150,0)),PrefFlows!$B:$B,$B150),2)</f>
        <v>48.59</v>
      </c>
      <c r="S150" s="5">
        <f t="shared" si="61"/>
        <v>1.24</v>
      </c>
      <c r="T150" s="5">
        <f t="shared" si="62"/>
        <v>8.1999999999999993</v>
      </c>
      <c r="U150" s="3">
        <f t="shared" si="63"/>
        <v>11.27</v>
      </c>
      <c r="V150" s="6">
        <f t="shared" si="64"/>
        <v>17.89</v>
      </c>
      <c r="W150" s="4">
        <f>ROUND($S150*SUMIFS(PrefFlows!$C:$C,PrefFlows!$A:$A,$S$1,PrefFlows!$B:$B,$B150)+$T150*SUMIFS(PrefFlows!$C:$C,PrefFlows!$A:$A,$T$1,PrefFlows!$B:$B,$B150)+$U150*SUMIFS(PrefFlows!$C:$C,PrefFlows!$A:$A,$U$1,PrefFlows!$B:$B,$B150),2)</f>
        <v>8.43</v>
      </c>
      <c r="X150" s="3">
        <f>ROUND($S150*(1-SUMIFS(PrefFlows!$C:$C,PrefFlows!$A:$A,$S$1,PrefFlows!$B:$B,$B150))+$T150*(1-SUMIFS(PrefFlows!$C:$C,PrefFlows!$A:$A,$T$1,PrefFlows!$B:$B,$B150))+$U150*(1-SUMIFS(PrefFlows!$C:$C,PrefFlows!$A:$A,$U$1,PrefFlows!$B:$B,$B150)),2)</f>
        <v>12.28</v>
      </c>
      <c r="Y150" s="4">
        <f t="shared" si="65"/>
        <v>9.8800000000000008</v>
      </c>
      <c r="Z150" s="3">
        <f t="shared" si="66"/>
        <v>10.83</v>
      </c>
      <c r="AA150" s="4">
        <f t="shared" si="67"/>
        <v>0.40699999999999997</v>
      </c>
      <c r="AB150" s="5">
        <f t="shared" si="68"/>
        <v>0.47710000000000002</v>
      </c>
      <c r="AC150" s="5">
        <f t="shared" si="69"/>
        <v>7.0099999999999996E-2</v>
      </c>
      <c r="AD150" s="3">
        <v>3.3106802735894697E-2</v>
      </c>
      <c r="AE150" s="4">
        <f>ROUND(S150*(1-(Exhaust!$B$2+AD150)),2)</f>
        <v>0.5</v>
      </c>
      <c r="AF150" s="5">
        <f>ROUND(T150*(1-(Exhaust!$B$3+$AD150)),2)</f>
        <v>4.6500000000000004</v>
      </c>
      <c r="AG150" s="3">
        <f>ROUND(U150*(1-(Exhaust!$B$4+$AD150)),2)</f>
        <v>5.26</v>
      </c>
      <c r="AH150" s="4">
        <f>ROUND($AE150*(SUMIFS(PrefFlows!$C:$C,PrefFlows!$A:$A,$S$1,PrefFlows!$B:$B,$B150)+$AC150)+$AF150*(SUMIFS(PrefFlows!$C:$C,PrefFlows!$A:$A,$T$1,PrefFlows!$B:$B,$B150)+$AC150)+$AG150*(SUMIFS(PrefFlows!$C:$C,PrefFlows!$A:$A,$U$1,PrefFlows!$B:$B,$B150)+$AC150),2)</f>
        <v>4.83</v>
      </c>
      <c r="AI150" s="3">
        <f>ROUND($AE150*(1-(SUMIFS(PrefFlows!$C:$C,PrefFlows!$A:$A,$S$1,PrefFlows!$B:$B,$B150)+$AC150))+$AF150*(1-(SUMIFS(PrefFlows!$C:$C,PrefFlows!$A:$A,$T$1,PrefFlows!$B:$B,$B150)+$AC150))+$AG150*(1-(SUMIFS(PrefFlows!$C:$C,PrefFlows!$A:$A,$U$1,PrefFlows!$B:$B,$B150)+$AC150)),2)</f>
        <v>5.58</v>
      </c>
      <c r="AJ150" s="4">
        <f t="shared" si="70"/>
        <v>53.42</v>
      </c>
      <c r="AK150" s="3">
        <f t="shared" si="71"/>
        <v>36.28</v>
      </c>
      <c r="AL150" s="4">
        <f t="shared" si="72"/>
        <v>59.55</v>
      </c>
      <c r="AM150" s="3">
        <f t="shared" si="72"/>
        <v>40.450000000000003</v>
      </c>
      <c r="AN150" s="1">
        <f t="shared" si="54"/>
        <v>8.4700000000000006</v>
      </c>
      <c r="AO150" s="1">
        <f t="shared" si="55"/>
        <v>9.66</v>
      </c>
      <c r="AP150" s="3">
        <f t="shared" si="56"/>
        <v>9.5500000000000007</v>
      </c>
      <c r="AQ150" s="1" t="b">
        <f t="shared" si="73"/>
        <v>0</v>
      </c>
      <c r="AR150" s="1" t="b">
        <f t="shared" si="73"/>
        <v>0</v>
      </c>
      <c r="AS150" s="3" t="b">
        <f t="shared" si="74"/>
        <v>0</v>
      </c>
      <c r="AT150" s="1">
        <f t="shared" si="75"/>
        <v>1.1899999999999995</v>
      </c>
      <c r="AU150" s="1">
        <f t="shared" si="75"/>
        <v>1.08</v>
      </c>
      <c r="AV150" s="3">
        <f t="shared" si="76"/>
        <v>0.10999999999999943</v>
      </c>
      <c r="AW150" s="1">
        <f>ROUND(IF($B150="NSW",N150*Meta!$B$6,N150),1)</f>
        <v>3343</v>
      </c>
      <c r="AX150" s="3">
        <f t="shared" si="57"/>
        <v>73386.7</v>
      </c>
    </row>
    <row r="151" spans="1:50" x14ac:dyDescent="0.55000000000000004">
      <c r="A151" s="2" t="s">
        <v>162</v>
      </c>
      <c r="B151" s="3" t="s">
        <v>9</v>
      </c>
      <c r="C151" s="4">
        <v>56.89</v>
      </c>
      <c r="D151" s="5">
        <v>24.55</v>
      </c>
      <c r="E151" s="5">
        <v>0</v>
      </c>
      <c r="F151" s="5">
        <v>1.43</v>
      </c>
      <c r="G151" s="5">
        <v>0</v>
      </c>
      <c r="H151" s="5">
        <v>13.82</v>
      </c>
      <c r="I151" s="5">
        <v>3.31</v>
      </c>
      <c r="J151" s="3">
        <f t="shared" si="58"/>
        <v>4.74</v>
      </c>
      <c r="K151" s="4">
        <v>27.59</v>
      </c>
      <c r="L151" s="3">
        <v>72.41</v>
      </c>
      <c r="M151" s="4">
        <v>90119</v>
      </c>
      <c r="N151" s="5">
        <v>3902</v>
      </c>
      <c r="O151" s="3">
        <f t="shared" si="59"/>
        <v>86217</v>
      </c>
      <c r="P151" s="5">
        <f t="shared" si="60"/>
        <v>4.3298305573741383E-2</v>
      </c>
      <c r="Q151" s="4">
        <f>ROUND($C151+MIN($D151:$E151)*(1-SUMIFS(PrefFlows!$C:$C,PrefFlows!$A:$A,INDEX($D$1:$E$1,MATCH(MIN($D151:$E151),$D151:$E151,0)),PrefFlows!$B:$B,$B151)),2)</f>
        <v>56.89</v>
      </c>
      <c r="R151" s="5">
        <f>ROUND(MAX($D151:$E151)+MIN($D151:$E151)*SUMIFS(PrefFlows!$C:$C,PrefFlows!$A:$A,INDEX($D$1:$E$1,MATCH(MIN($D151:$E151),$D151:$E151,0)),PrefFlows!$B:$B,$B151),2)</f>
        <v>24.55</v>
      </c>
      <c r="S151" s="5">
        <f t="shared" si="61"/>
        <v>0</v>
      </c>
      <c r="T151" s="5">
        <f t="shared" si="62"/>
        <v>13.82</v>
      </c>
      <c r="U151" s="3">
        <f t="shared" si="63"/>
        <v>4.74</v>
      </c>
      <c r="V151" s="6">
        <f t="shared" si="64"/>
        <v>-32.340000000000003</v>
      </c>
      <c r="W151" s="4">
        <f>ROUND($S151*SUMIFS(PrefFlows!$C:$C,PrefFlows!$A:$A,$S$1,PrefFlows!$B:$B,$B151)+$T151*SUMIFS(PrefFlows!$C:$C,PrefFlows!$A:$A,$T$1,PrefFlows!$B:$B,$B151)+$U151*SUMIFS(PrefFlows!$C:$C,PrefFlows!$A:$A,$U$1,PrefFlows!$B:$B,$B151),2)</f>
        <v>4.8899999999999997</v>
      </c>
      <c r="X151" s="3">
        <f>ROUND($S151*(1-SUMIFS(PrefFlows!$C:$C,PrefFlows!$A:$A,$S$1,PrefFlows!$B:$B,$B151))+$T151*(1-SUMIFS(PrefFlows!$C:$C,PrefFlows!$A:$A,$T$1,PrefFlows!$B:$B,$B151))+$U151*(1-SUMIFS(PrefFlows!$C:$C,PrefFlows!$A:$A,$U$1,PrefFlows!$B:$B,$B151)),2)</f>
        <v>13.67</v>
      </c>
      <c r="Y151" s="4">
        <f t="shared" si="65"/>
        <v>3.04</v>
      </c>
      <c r="Z151" s="3">
        <f t="shared" si="66"/>
        <v>15.52</v>
      </c>
      <c r="AA151" s="4">
        <f t="shared" si="67"/>
        <v>0.26350000000000001</v>
      </c>
      <c r="AB151" s="5">
        <f t="shared" si="68"/>
        <v>0.1638</v>
      </c>
      <c r="AC151" s="5">
        <f t="shared" si="69"/>
        <v>-9.9699999999999997E-2</v>
      </c>
      <c r="AD151" s="3">
        <v>-0.122091688852657</v>
      </c>
      <c r="AE151" s="4">
        <f>ROUND(S151*(1-(Exhaust!$B$2+AD151)),2)</f>
        <v>0</v>
      </c>
      <c r="AF151" s="5">
        <f>ROUND(T151*(1-(Exhaust!$B$3+$AD151)),2)</f>
        <v>9.98</v>
      </c>
      <c r="AG151" s="3">
        <f>ROUND(U151*(1-(Exhaust!$B$4+$AD151)),2)</f>
        <v>2.95</v>
      </c>
      <c r="AH151" s="4">
        <f>ROUND($AE151*(SUMIFS(PrefFlows!$C:$C,PrefFlows!$A:$A,$S$1,PrefFlows!$B:$B,$B151)+$AC151)+$AF151*(SUMIFS(PrefFlows!$C:$C,PrefFlows!$A:$A,$T$1,PrefFlows!$B:$B,$B151)+$AC151)+$AG151*(SUMIFS(PrefFlows!$C:$C,PrefFlows!$A:$A,$U$1,PrefFlows!$B:$B,$B151)+$AC151),2)</f>
        <v>1.99</v>
      </c>
      <c r="AI151" s="3">
        <f>ROUND($AE151*(1-(SUMIFS(PrefFlows!$C:$C,PrefFlows!$A:$A,$S$1,PrefFlows!$B:$B,$B151)+$AC151))+$AF151*(1-(SUMIFS(PrefFlows!$C:$C,PrefFlows!$A:$A,$T$1,PrefFlows!$B:$B,$B151)+$AC151))+$AG151*(1-(SUMIFS(PrefFlows!$C:$C,PrefFlows!$A:$A,$U$1,PrefFlows!$B:$B,$B151)+$AC151)),2)</f>
        <v>10.94</v>
      </c>
      <c r="AJ151" s="4">
        <f t="shared" si="70"/>
        <v>26.54</v>
      </c>
      <c r="AK151" s="3">
        <f t="shared" si="71"/>
        <v>67.83</v>
      </c>
      <c r="AL151" s="4">
        <f t="shared" si="72"/>
        <v>28.12</v>
      </c>
      <c r="AM151" s="3">
        <f t="shared" si="72"/>
        <v>71.88</v>
      </c>
      <c r="AN151" s="1">
        <f t="shared" si="54"/>
        <v>-22.41</v>
      </c>
      <c r="AO151" s="1">
        <f t="shared" si="55"/>
        <v>-21.31</v>
      </c>
      <c r="AP151" s="3">
        <f t="shared" si="56"/>
        <v>-21.88</v>
      </c>
      <c r="AQ151" s="1" t="b">
        <f t="shared" si="73"/>
        <v>0</v>
      </c>
      <c r="AR151" s="1" t="b">
        <f t="shared" si="73"/>
        <v>0</v>
      </c>
      <c r="AS151" s="3" t="b">
        <f t="shared" si="74"/>
        <v>0</v>
      </c>
      <c r="AT151" s="1">
        <f t="shared" si="75"/>
        <v>1.1000000000000014</v>
      </c>
      <c r="AU151" s="1">
        <f t="shared" si="75"/>
        <v>0.53000000000000114</v>
      </c>
      <c r="AV151" s="3">
        <f t="shared" si="76"/>
        <v>0.57000000000000028</v>
      </c>
      <c r="AW151" s="1">
        <f>ROUND(IF($B151="NSW",N151*Meta!$B$6,N151),1)</f>
        <v>3902</v>
      </c>
      <c r="AX151" s="3">
        <f t="shared" si="57"/>
        <v>82663.3</v>
      </c>
    </row>
    <row r="152" spans="1:50" x14ac:dyDescent="0.55000000000000004">
      <c r="K152" s="4">
        <f>ROUND(SUMPRODUCT(K2:K151,$O2:$O151)/SUM($O2:$O151),2)</f>
        <v>47.3</v>
      </c>
      <c r="L152" s="3">
        <f>ROUND(SUMPRODUCT(L2:L151,$O2:$O151)/SUM($O2:$O151),2)</f>
        <v>52.7</v>
      </c>
      <c r="N152" s="1">
        <f>SUM(N2:N151)/SUM($M$2:$M$151)</f>
        <v>3.9504241573654994E-2</v>
      </c>
      <c r="AL152" s="4">
        <f>ROUND(SUMPRODUCT(AL2:AL151,$AX2:$AX151)/SUM($AX2:$AX151),2)</f>
        <v>47.82</v>
      </c>
      <c r="AM152" s="3">
        <f>ROUND(SUMPRODUCT(AM2:AM151,$AX2:$AX151)/SUM($AX2:$AX151),2)</f>
        <v>52.18</v>
      </c>
      <c r="AW152" s="1">
        <f>SUM(AW2:AW151)/SUM($M$2:$M$151)</f>
        <v>3.3893542974170063E-2</v>
      </c>
    </row>
    <row r="153" spans="1:50" x14ac:dyDescent="0.55000000000000004">
      <c r="AW153" s="1">
        <f>(1-SUM(Meta!$B$2:$B$4))*N152</f>
        <v>2.1924854073378519E-2</v>
      </c>
    </row>
  </sheetData>
  <conditionalFormatting sqref="AQ1:AS1048576">
    <cfRule type="cellIs" dxfId="0" priority="5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>
      <selection activeCell="C2" sqref="C2:C41"/>
    </sheetView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174</v>
      </c>
      <c r="B1" s="1" t="s">
        <v>1</v>
      </c>
      <c r="C1" s="1" t="s">
        <v>175</v>
      </c>
    </row>
    <row r="2" spans="1:3" x14ac:dyDescent="0.55000000000000004">
      <c r="A2" s="1" t="s">
        <v>164</v>
      </c>
      <c r="B2" s="1" t="s">
        <v>12</v>
      </c>
      <c r="C2" s="1" t="s">
        <v>177</v>
      </c>
    </row>
    <row r="3" spans="1:3" x14ac:dyDescent="0.55000000000000004">
      <c r="A3" s="1" t="s">
        <v>165</v>
      </c>
      <c r="B3" s="1" t="s">
        <v>12</v>
      </c>
      <c r="C3" s="1" t="s">
        <v>177</v>
      </c>
    </row>
    <row r="4" spans="1:3" x14ac:dyDescent="0.55000000000000004">
      <c r="A4" s="1" t="s">
        <v>3</v>
      </c>
      <c r="B4" s="1" t="s">
        <v>12</v>
      </c>
      <c r="C4" s="1">
        <v>0.19220000000000001</v>
      </c>
    </row>
    <row r="5" spans="1:3" x14ac:dyDescent="0.55000000000000004">
      <c r="A5" s="1" t="s">
        <v>176</v>
      </c>
      <c r="B5" s="1" t="s">
        <v>12</v>
      </c>
      <c r="C5" s="1">
        <v>0.58179999999999998</v>
      </c>
    </row>
    <row r="6" spans="1:3" x14ac:dyDescent="0.55000000000000004">
      <c r="A6" s="1" t="s">
        <v>4</v>
      </c>
      <c r="B6" s="1" t="s">
        <v>12</v>
      </c>
      <c r="C6" s="1">
        <v>0.52849999999999997</v>
      </c>
    </row>
    <row r="7" spans="1:3" x14ac:dyDescent="0.55000000000000004">
      <c r="A7" s="1" t="s">
        <v>164</v>
      </c>
      <c r="B7" s="1" t="s">
        <v>9</v>
      </c>
      <c r="C7" s="1" t="s">
        <v>177</v>
      </c>
    </row>
    <row r="8" spans="1:3" x14ac:dyDescent="0.55000000000000004">
      <c r="A8" s="1" t="s">
        <v>165</v>
      </c>
      <c r="B8" s="1" t="s">
        <v>9</v>
      </c>
      <c r="C8" s="1" t="s">
        <v>177</v>
      </c>
    </row>
    <row r="9" spans="1:3" x14ac:dyDescent="0.55000000000000004">
      <c r="A9" s="1" t="s">
        <v>3</v>
      </c>
      <c r="B9" s="1" t="s">
        <v>9</v>
      </c>
      <c r="C9" s="1">
        <v>0.1711</v>
      </c>
    </row>
    <row r="10" spans="1:3" x14ac:dyDescent="0.55000000000000004">
      <c r="A10" s="1" t="s">
        <v>176</v>
      </c>
      <c r="B10" s="1" t="s">
        <v>9</v>
      </c>
      <c r="C10" s="1">
        <v>0.49880000000000002</v>
      </c>
    </row>
    <row r="11" spans="1:3" x14ac:dyDescent="0.55000000000000004">
      <c r="A11" s="1" t="s">
        <v>4</v>
      </c>
      <c r="B11" s="1" t="s">
        <v>9</v>
      </c>
      <c r="C11" s="1">
        <v>0.5323</v>
      </c>
    </row>
    <row r="12" spans="1:3" x14ac:dyDescent="0.55000000000000004">
      <c r="A12" s="1" t="s">
        <v>164</v>
      </c>
      <c r="B12" s="1" t="s">
        <v>22</v>
      </c>
      <c r="C12" s="1">
        <v>0.85450000000000004</v>
      </c>
    </row>
    <row r="13" spans="1:3" x14ac:dyDescent="0.55000000000000004">
      <c r="A13" s="1" t="s">
        <v>165</v>
      </c>
      <c r="B13" s="1" t="s">
        <v>22</v>
      </c>
      <c r="C13" s="1">
        <v>0.80689999999999995</v>
      </c>
    </row>
    <row r="14" spans="1:3" x14ac:dyDescent="0.55000000000000004">
      <c r="A14" s="1" t="s">
        <v>3</v>
      </c>
      <c r="B14" s="1" t="s">
        <v>22</v>
      </c>
      <c r="C14" s="1">
        <v>0.24690000000000001</v>
      </c>
    </row>
    <row r="15" spans="1:3" x14ac:dyDescent="0.55000000000000004">
      <c r="A15" s="1" t="s">
        <v>176</v>
      </c>
      <c r="B15" s="1" t="s">
        <v>22</v>
      </c>
      <c r="C15" s="1">
        <v>0.54879999999999995</v>
      </c>
    </row>
    <row r="16" spans="1:3" x14ac:dyDescent="0.55000000000000004">
      <c r="A16" s="1" t="s">
        <v>4</v>
      </c>
      <c r="B16" s="1" t="s">
        <v>22</v>
      </c>
      <c r="C16" s="1">
        <v>0.50829999999999997</v>
      </c>
    </row>
    <row r="17" spans="1:3" x14ac:dyDescent="0.55000000000000004">
      <c r="A17" s="1" t="s">
        <v>164</v>
      </c>
      <c r="B17" s="1" t="s">
        <v>30</v>
      </c>
      <c r="C17" s="1" t="s">
        <v>177</v>
      </c>
    </row>
    <row r="18" spans="1:3" x14ac:dyDescent="0.55000000000000004">
      <c r="A18" s="1" t="s">
        <v>165</v>
      </c>
      <c r="B18" s="1" t="s">
        <v>30</v>
      </c>
      <c r="C18" s="1">
        <v>0.80959999999999999</v>
      </c>
    </row>
    <row r="19" spans="1:3" x14ac:dyDescent="0.55000000000000004">
      <c r="A19" s="1" t="s">
        <v>3</v>
      </c>
      <c r="B19" s="1" t="s">
        <v>30</v>
      </c>
      <c r="C19" s="1">
        <v>0.24149999999999999</v>
      </c>
    </row>
    <row r="20" spans="1:3" x14ac:dyDescent="0.55000000000000004">
      <c r="A20" s="1" t="s">
        <v>176</v>
      </c>
      <c r="B20" s="1" t="s">
        <v>30</v>
      </c>
      <c r="C20" s="1">
        <v>0.49709999999999999</v>
      </c>
    </row>
    <row r="21" spans="1:3" x14ac:dyDescent="0.55000000000000004">
      <c r="A21" s="1" t="s">
        <v>4</v>
      </c>
      <c r="B21" s="1" t="s">
        <v>30</v>
      </c>
      <c r="C21" s="1">
        <v>0.52049999999999996</v>
      </c>
    </row>
    <row r="22" spans="1:3" x14ac:dyDescent="0.55000000000000004">
      <c r="A22" s="1" t="s">
        <v>164</v>
      </c>
      <c r="B22" s="1" t="s">
        <v>7</v>
      </c>
      <c r="C22" s="1" t="s">
        <v>177</v>
      </c>
    </row>
    <row r="23" spans="1:3" x14ac:dyDescent="0.55000000000000004">
      <c r="A23" s="1" t="s">
        <v>165</v>
      </c>
      <c r="B23" s="1" t="s">
        <v>7</v>
      </c>
      <c r="C23" s="1">
        <v>0.71079999999999999</v>
      </c>
    </row>
    <row r="24" spans="1:3" x14ac:dyDescent="0.55000000000000004">
      <c r="A24" s="1" t="s">
        <v>3</v>
      </c>
      <c r="B24" s="1" t="s">
        <v>7</v>
      </c>
      <c r="C24" s="1">
        <v>0.22720000000000001</v>
      </c>
    </row>
    <row r="25" spans="1:3" x14ac:dyDescent="0.55000000000000004">
      <c r="A25" s="1" t="s">
        <v>176</v>
      </c>
      <c r="B25" s="1" t="s">
        <v>7</v>
      </c>
      <c r="C25" s="1">
        <v>0.44429999999999997</v>
      </c>
    </row>
    <row r="26" spans="1:3" x14ac:dyDescent="0.55000000000000004">
      <c r="A26" s="1" t="s">
        <v>4</v>
      </c>
      <c r="B26" s="1" t="s">
        <v>7</v>
      </c>
      <c r="C26" s="1">
        <v>0.51890000000000003</v>
      </c>
    </row>
    <row r="27" spans="1:3" x14ac:dyDescent="0.55000000000000004">
      <c r="A27" s="1" t="s">
        <v>164</v>
      </c>
      <c r="B27" s="1" t="s">
        <v>16</v>
      </c>
      <c r="C27" s="1" t="s">
        <v>177</v>
      </c>
    </row>
    <row r="28" spans="1:3" x14ac:dyDescent="0.55000000000000004">
      <c r="A28" s="1" t="s">
        <v>165</v>
      </c>
      <c r="B28" s="1" t="s">
        <v>16</v>
      </c>
      <c r="C28" s="1" t="s">
        <v>177</v>
      </c>
    </row>
    <row r="29" spans="1:3" x14ac:dyDescent="0.55000000000000004">
      <c r="A29" s="1" t="s">
        <v>3</v>
      </c>
      <c r="B29" s="1" t="s">
        <v>16</v>
      </c>
      <c r="C29" s="1">
        <v>0.21679999999999999</v>
      </c>
    </row>
    <row r="30" spans="1:3" x14ac:dyDescent="0.55000000000000004">
      <c r="A30" s="1" t="s">
        <v>176</v>
      </c>
      <c r="B30" s="1" t="s">
        <v>16</v>
      </c>
      <c r="C30" s="1" t="s">
        <v>177</v>
      </c>
    </row>
    <row r="31" spans="1:3" x14ac:dyDescent="0.55000000000000004">
      <c r="A31" s="1" t="s">
        <v>4</v>
      </c>
      <c r="B31" s="1" t="s">
        <v>16</v>
      </c>
      <c r="C31" s="1">
        <v>0.55159999999999998</v>
      </c>
    </row>
    <row r="32" spans="1:3" x14ac:dyDescent="0.55000000000000004">
      <c r="A32" s="1" t="s">
        <v>164</v>
      </c>
      <c r="B32" s="1" t="s">
        <v>36</v>
      </c>
      <c r="C32" s="1" t="s">
        <v>177</v>
      </c>
    </row>
    <row r="33" spans="1:3" x14ac:dyDescent="0.55000000000000004">
      <c r="A33" s="1" t="s">
        <v>165</v>
      </c>
      <c r="B33" s="1" t="s">
        <v>36</v>
      </c>
      <c r="C33" s="1" t="s">
        <v>177</v>
      </c>
    </row>
    <row r="34" spans="1:3" x14ac:dyDescent="0.55000000000000004">
      <c r="A34" s="1" t="s">
        <v>3</v>
      </c>
      <c r="B34" s="1" t="s">
        <v>36</v>
      </c>
      <c r="C34" s="1">
        <v>0.1792</v>
      </c>
    </row>
    <row r="35" spans="1:3" x14ac:dyDescent="0.55000000000000004">
      <c r="A35" s="1" t="s">
        <v>176</v>
      </c>
      <c r="B35" s="1" t="s">
        <v>36</v>
      </c>
      <c r="C35" s="1" t="s">
        <v>177</v>
      </c>
    </row>
    <row r="36" spans="1:3" x14ac:dyDescent="0.55000000000000004">
      <c r="A36" s="1" t="s">
        <v>4</v>
      </c>
      <c r="B36" s="1" t="s">
        <v>36</v>
      </c>
      <c r="C36" s="1">
        <v>0.57030000000000003</v>
      </c>
    </row>
    <row r="37" spans="1:3" x14ac:dyDescent="0.55000000000000004">
      <c r="A37" s="1" t="s">
        <v>164</v>
      </c>
      <c r="B37" s="1" t="s">
        <v>102</v>
      </c>
      <c r="C37" s="1" t="s">
        <v>177</v>
      </c>
    </row>
    <row r="38" spans="1:3" x14ac:dyDescent="0.55000000000000004">
      <c r="A38" s="1" t="s">
        <v>165</v>
      </c>
      <c r="B38" s="1" t="s">
        <v>102</v>
      </c>
      <c r="C38" s="1" t="s">
        <v>177</v>
      </c>
    </row>
    <row r="39" spans="1:3" x14ac:dyDescent="0.55000000000000004">
      <c r="A39" s="1" t="s">
        <v>3</v>
      </c>
      <c r="B39" s="1" t="s">
        <v>102</v>
      </c>
      <c r="C39" s="1">
        <v>0.2422</v>
      </c>
    </row>
    <row r="40" spans="1:3" x14ac:dyDescent="0.55000000000000004">
      <c r="A40" s="1" t="s">
        <v>176</v>
      </c>
      <c r="B40" s="1" t="s">
        <v>102</v>
      </c>
      <c r="C40" s="1" t="s">
        <v>177</v>
      </c>
    </row>
    <row r="41" spans="1:3" x14ac:dyDescent="0.55000000000000004">
      <c r="A41" s="1" t="s">
        <v>4</v>
      </c>
      <c r="B41" s="1" t="s">
        <v>102</v>
      </c>
      <c r="C41" s="1">
        <v>0.52559999999999996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C24" sqref="C24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174</v>
      </c>
      <c r="B1" s="1" t="s">
        <v>187</v>
      </c>
    </row>
    <row r="2" spans="1:2" x14ac:dyDescent="0.55000000000000004">
      <c r="A2" s="1" t="s">
        <v>176</v>
      </c>
      <c r="B2" s="1">
        <v>0.56000000000000005</v>
      </c>
    </row>
    <row r="3" spans="1:2" x14ac:dyDescent="0.55000000000000004">
      <c r="A3" s="1" t="s">
        <v>3</v>
      </c>
      <c r="B3" s="1">
        <v>0.4</v>
      </c>
    </row>
    <row r="4" spans="1:2" x14ac:dyDescent="0.55000000000000004">
      <c r="A4" s="1" t="s">
        <v>4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2021-05-01T04:58:34Z</dcterms:modified>
</cp:coreProperties>
</file>