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OPV\"/>
    </mc:Choice>
  </mc:AlternateContent>
  <xr:revisionPtr revIDLastSave="0" documentId="13_ncr:1_{76659DED-15FD-4FD2-9983-52399A294C0F}" xr6:coauthVersionLast="45" xr6:coauthVersionMax="45" xr10:uidLastSave="{00000000-0000-0000-0000-000000000000}"/>
  <bookViews>
    <workbookView xWindow="-98" yWindow="-98" windowWidth="28996" windowHeight="15796" activeTab="1" xr2:uid="{4E1BC8B2-CE1A-44AB-B893-F56A85ADB874}"/>
  </bookViews>
  <sheets>
    <sheet name="Meta" sheetId="2" r:id="rId1"/>
    <sheet name="DivData" sheetId="1" r:id="rId2"/>
    <sheet name="PrefFlows" sheetId="3" r:id="rId3"/>
    <sheet name="Exhau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52" i="1" l="1"/>
  <c r="AL152" i="1"/>
  <c r="AE152" i="1"/>
  <c r="V152" i="1"/>
  <c r="S152" i="1"/>
  <c r="R152" i="1"/>
  <c r="AD152" i="1" s="1"/>
  <c r="Q152" i="1"/>
  <c r="U152" i="1" s="1"/>
  <c r="P152" i="1"/>
  <c r="W152" i="1" s="1"/>
  <c r="Z152" i="1" s="1"/>
  <c r="O152" i="1"/>
  <c r="X152" i="1" s="1"/>
  <c r="N152" i="1"/>
  <c r="M152" i="1"/>
  <c r="M151" i="1"/>
  <c r="Y152" i="1" l="1"/>
  <c r="AA152" i="1" s="1"/>
  <c r="T152" i="1"/>
  <c r="AC152" i="1"/>
  <c r="AM152" i="1"/>
  <c r="B6" i="2"/>
  <c r="AO152" i="1" l="1"/>
  <c r="AR152" i="1"/>
  <c r="AF152" i="1"/>
  <c r="AH152" i="1" s="1"/>
  <c r="AG152" i="1"/>
  <c r="AI152" i="1" s="1"/>
  <c r="AK152" i="1" l="1"/>
  <c r="AJ152" i="1"/>
  <c r="AN152" i="1" s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52" i="1" l="1"/>
  <c r="AS152" i="1"/>
  <c r="AP152" i="1"/>
  <c r="AQ152" i="1"/>
  <c r="B5" i="2"/>
  <c r="S151" i="1" l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151" i="1" l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AL151" i="1" l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R151" i="1" l="1"/>
  <c r="AD151" i="1" s="1"/>
  <c r="Q151" i="1"/>
  <c r="AC151" i="1" s="1"/>
  <c r="R150" i="1"/>
  <c r="AD150" i="1" s="1"/>
  <c r="Q150" i="1"/>
  <c r="AC150" i="1" s="1"/>
  <c r="R149" i="1"/>
  <c r="AD149" i="1" s="1"/>
  <c r="Q149" i="1"/>
  <c r="AC149" i="1" s="1"/>
  <c r="R148" i="1"/>
  <c r="AD148" i="1" s="1"/>
  <c r="Q148" i="1"/>
  <c r="AC148" i="1" s="1"/>
  <c r="R147" i="1"/>
  <c r="AD147" i="1" s="1"/>
  <c r="Q147" i="1"/>
  <c r="AC147" i="1" s="1"/>
  <c r="R146" i="1"/>
  <c r="AD146" i="1" s="1"/>
  <c r="Q146" i="1"/>
  <c r="AC146" i="1" s="1"/>
  <c r="R145" i="1"/>
  <c r="AD145" i="1" s="1"/>
  <c r="Q145" i="1"/>
  <c r="AC145" i="1" s="1"/>
  <c r="R144" i="1"/>
  <c r="AD144" i="1" s="1"/>
  <c r="Q144" i="1"/>
  <c r="AC144" i="1" s="1"/>
  <c r="R143" i="1"/>
  <c r="AD143" i="1" s="1"/>
  <c r="Q143" i="1"/>
  <c r="AC143" i="1" s="1"/>
  <c r="R142" i="1"/>
  <c r="AD142" i="1" s="1"/>
  <c r="Q142" i="1"/>
  <c r="AC142" i="1" s="1"/>
  <c r="R141" i="1"/>
  <c r="AD141" i="1" s="1"/>
  <c r="Q141" i="1"/>
  <c r="AC141" i="1" s="1"/>
  <c r="R140" i="1"/>
  <c r="AD140" i="1" s="1"/>
  <c r="Q140" i="1"/>
  <c r="AC140" i="1" s="1"/>
  <c r="R139" i="1"/>
  <c r="AD139" i="1" s="1"/>
  <c r="Q139" i="1"/>
  <c r="AC139" i="1" s="1"/>
  <c r="R138" i="1"/>
  <c r="AD138" i="1" s="1"/>
  <c r="Q138" i="1"/>
  <c r="AC138" i="1" s="1"/>
  <c r="R137" i="1"/>
  <c r="AD137" i="1" s="1"/>
  <c r="Q137" i="1"/>
  <c r="AC137" i="1" s="1"/>
  <c r="R136" i="1"/>
  <c r="AD136" i="1" s="1"/>
  <c r="Q136" i="1"/>
  <c r="AC136" i="1" s="1"/>
  <c r="R135" i="1"/>
  <c r="AD135" i="1" s="1"/>
  <c r="Q135" i="1"/>
  <c r="AC135" i="1" s="1"/>
  <c r="R134" i="1"/>
  <c r="AD134" i="1" s="1"/>
  <c r="Q134" i="1"/>
  <c r="AC134" i="1" s="1"/>
  <c r="R133" i="1"/>
  <c r="AD133" i="1" s="1"/>
  <c r="Q133" i="1"/>
  <c r="AC133" i="1" s="1"/>
  <c r="R132" i="1"/>
  <c r="AD132" i="1" s="1"/>
  <c r="Q132" i="1"/>
  <c r="AC132" i="1" s="1"/>
  <c r="R131" i="1"/>
  <c r="AD131" i="1" s="1"/>
  <c r="Q131" i="1"/>
  <c r="AC131" i="1" s="1"/>
  <c r="R130" i="1"/>
  <c r="AD130" i="1" s="1"/>
  <c r="Q130" i="1"/>
  <c r="AC130" i="1" s="1"/>
  <c r="R129" i="1"/>
  <c r="AD129" i="1" s="1"/>
  <c r="Q129" i="1"/>
  <c r="AC129" i="1" s="1"/>
  <c r="R128" i="1"/>
  <c r="AD128" i="1" s="1"/>
  <c r="Q128" i="1"/>
  <c r="AC128" i="1" s="1"/>
  <c r="R127" i="1"/>
  <c r="AD127" i="1" s="1"/>
  <c r="Q127" i="1"/>
  <c r="AC127" i="1" s="1"/>
  <c r="R126" i="1"/>
  <c r="AD126" i="1" s="1"/>
  <c r="Q126" i="1"/>
  <c r="AC126" i="1" s="1"/>
  <c r="R125" i="1"/>
  <c r="AD125" i="1" s="1"/>
  <c r="Q125" i="1"/>
  <c r="AC125" i="1" s="1"/>
  <c r="R124" i="1"/>
  <c r="AD124" i="1" s="1"/>
  <c r="Q124" i="1"/>
  <c r="AC124" i="1" s="1"/>
  <c r="R123" i="1"/>
  <c r="AD123" i="1" s="1"/>
  <c r="Q123" i="1"/>
  <c r="AC123" i="1" s="1"/>
  <c r="R122" i="1"/>
  <c r="AD122" i="1" s="1"/>
  <c r="Q122" i="1"/>
  <c r="AC122" i="1" s="1"/>
  <c r="R121" i="1"/>
  <c r="AD121" i="1" s="1"/>
  <c r="Q121" i="1"/>
  <c r="AC121" i="1" s="1"/>
  <c r="R120" i="1"/>
  <c r="AD120" i="1" s="1"/>
  <c r="Q120" i="1"/>
  <c r="AC120" i="1" s="1"/>
  <c r="R119" i="1"/>
  <c r="AD119" i="1" s="1"/>
  <c r="Q119" i="1"/>
  <c r="AC119" i="1" s="1"/>
  <c r="R118" i="1"/>
  <c r="AD118" i="1" s="1"/>
  <c r="Q118" i="1"/>
  <c r="AC118" i="1" s="1"/>
  <c r="R117" i="1"/>
  <c r="AD117" i="1" s="1"/>
  <c r="Q117" i="1"/>
  <c r="AC117" i="1" s="1"/>
  <c r="R116" i="1"/>
  <c r="AD116" i="1" s="1"/>
  <c r="Q116" i="1"/>
  <c r="AC116" i="1" s="1"/>
  <c r="R115" i="1"/>
  <c r="AD115" i="1" s="1"/>
  <c r="Q115" i="1"/>
  <c r="AC115" i="1" s="1"/>
  <c r="R114" i="1"/>
  <c r="AD114" i="1" s="1"/>
  <c r="Q114" i="1"/>
  <c r="AC114" i="1" s="1"/>
  <c r="R113" i="1"/>
  <c r="AD113" i="1" s="1"/>
  <c r="Q113" i="1"/>
  <c r="AC113" i="1" s="1"/>
  <c r="R112" i="1"/>
  <c r="AD112" i="1" s="1"/>
  <c r="Q112" i="1"/>
  <c r="AC112" i="1" s="1"/>
  <c r="R111" i="1"/>
  <c r="AD111" i="1" s="1"/>
  <c r="Q111" i="1"/>
  <c r="AC111" i="1" s="1"/>
  <c r="R110" i="1"/>
  <c r="AD110" i="1" s="1"/>
  <c r="Q110" i="1"/>
  <c r="AC110" i="1" s="1"/>
  <c r="R109" i="1"/>
  <c r="AD109" i="1" s="1"/>
  <c r="Q109" i="1"/>
  <c r="AC109" i="1" s="1"/>
  <c r="R108" i="1"/>
  <c r="AD108" i="1" s="1"/>
  <c r="Q108" i="1"/>
  <c r="AC108" i="1" s="1"/>
  <c r="R107" i="1"/>
  <c r="AD107" i="1" s="1"/>
  <c r="Q107" i="1"/>
  <c r="AC107" i="1" s="1"/>
  <c r="R106" i="1"/>
  <c r="AD106" i="1" s="1"/>
  <c r="Q106" i="1"/>
  <c r="AC106" i="1" s="1"/>
  <c r="R105" i="1"/>
  <c r="AD105" i="1" s="1"/>
  <c r="Q105" i="1"/>
  <c r="AC105" i="1" s="1"/>
  <c r="R104" i="1"/>
  <c r="AD104" i="1" s="1"/>
  <c r="Q104" i="1"/>
  <c r="AC104" i="1" s="1"/>
  <c r="R103" i="1"/>
  <c r="AD103" i="1" s="1"/>
  <c r="Q103" i="1"/>
  <c r="AC103" i="1" s="1"/>
  <c r="R102" i="1"/>
  <c r="AD102" i="1" s="1"/>
  <c r="Q102" i="1"/>
  <c r="AC102" i="1" s="1"/>
  <c r="R101" i="1"/>
  <c r="AD101" i="1" s="1"/>
  <c r="Q101" i="1"/>
  <c r="AC101" i="1" s="1"/>
  <c r="R100" i="1"/>
  <c r="AD100" i="1" s="1"/>
  <c r="Q100" i="1"/>
  <c r="AC100" i="1" s="1"/>
  <c r="R99" i="1"/>
  <c r="AD99" i="1" s="1"/>
  <c r="Q99" i="1"/>
  <c r="AC99" i="1" s="1"/>
  <c r="R98" i="1"/>
  <c r="AD98" i="1" s="1"/>
  <c r="Q98" i="1"/>
  <c r="AC98" i="1" s="1"/>
  <c r="R97" i="1"/>
  <c r="AD97" i="1" s="1"/>
  <c r="Q97" i="1"/>
  <c r="AC97" i="1" s="1"/>
  <c r="R96" i="1"/>
  <c r="AD96" i="1" s="1"/>
  <c r="Q96" i="1"/>
  <c r="AC96" i="1" s="1"/>
  <c r="R95" i="1"/>
  <c r="AD95" i="1" s="1"/>
  <c r="Q95" i="1"/>
  <c r="AC95" i="1" s="1"/>
  <c r="R94" i="1"/>
  <c r="AD94" i="1" s="1"/>
  <c r="Q94" i="1"/>
  <c r="AC94" i="1" s="1"/>
  <c r="R93" i="1"/>
  <c r="AD93" i="1" s="1"/>
  <c r="Q93" i="1"/>
  <c r="AC93" i="1" s="1"/>
  <c r="R92" i="1"/>
  <c r="AD92" i="1" s="1"/>
  <c r="Q92" i="1"/>
  <c r="AC92" i="1" s="1"/>
  <c r="R91" i="1"/>
  <c r="AD91" i="1" s="1"/>
  <c r="Q91" i="1"/>
  <c r="AC91" i="1" s="1"/>
  <c r="R90" i="1"/>
  <c r="AD90" i="1" s="1"/>
  <c r="Q90" i="1"/>
  <c r="AC90" i="1" s="1"/>
  <c r="R89" i="1"/>
  <c r="AD89" i="1" s="1"/>
  <c r="Q89" i="1"/>
  <c r="AC89" i="1" s="1"/>
  <c r="R88" i="1"/>
  <c r="AD88" i="1" s="1"/>
  <c r="Q88" i="1"/>
  <c r="AC88" i="1" s="1"/>
  <c r="R87" i="1"/>
  <c r="AD87" i="1" s="1"/>
  <c r="Q87" i="1"/>
  <c r="AC87" i="1" s="1"/>
  <c r="R86" i="1"/>
  <c r="AD86" i="1" s="1"/>
  <c r="Q86" i="1"/>
  <c r="AC86" i="1" s="1"/>
  <c r="R85" i="1"/>
  <c r="AD85" i="1" s="1"/>
  <c r="Q85" i="1"/>
  <c r="AC85" i="1" s="1"/>
  <c r="R84" i="1"/>
  <c r="AD84" i="1" s="1"/>
  <c r="Q84" i="1"/>
  <c r="AC84" i="1" s="1"/>
  <c r="R83" i="1"/>
  <c r="AD83" i="1" s="1"/>
  <c r="Q83" i="1"/>
  <c r="AC83" i="1" s="1"/>
  <c r="R82" i="1"/>
  <c r="AD82" i="1" s="1"/>
  <c r="Q82" i="1"/>
  <c r="AC82" i="1" s="1"/>
  <c r="R81" i="1"/>
  <c r="AD81" i="1" s="1"/>
  <c r="Q81" i="1"/>
  <c r="AC81" i="1" s="1"/>
  <c r="R80" i="1"/>
  <c r="AD80" i="1" s="1"/>
  <c r="Q80" i="1"/>
  <c r="AC80" i="1" s="1"/>
  <c r="R79" i="1"/>
  <c r="AD79" i="1" s="1"/>
  <c r="Q79" i="1"/>
  <c r="AC79" i="1" s="1"/>
  <c r="R78" i="1"/>
  <c r="AD78" i="1" s="1"/>
  <c r="Q78" i="1"/>
  <c r="AC78" i="1" s="1"/>
  <c r="R77" i="1"/>
  <c r="AD77" i="1" s="1"/>
  <c r="Q77" i="1"/>
  <c r="AC77" i="1" s="1"/>
  <c r="R76" i="1"/>
  <c r="AD76" i="1" s="1"/>
  <c r="Q76" i="1"/>
  <c r="AC76" i="1" s="1"/>
  <c r="R75" i="1"/>
  <c r="AD75" i="1" s="1"/>
  <c r="Q75" i="1"/>
  <c r="AC75" i="1" s="1"/>
  <c r="R74" i="1"/>
  <c r="AD74" i="1" s="1"/>
  <c r="Q74" i="1"/>
  <c r="AC74" i="1" s="1"/>
  <c r="R73" i="1"/>
  <c r="AD73" i="1" s="1"/>
  <c r="Q73" i="1"/>
  <c r="AC73" i="1" s="1"/>
  <c r="R72" i="1"/>
  <c r="AD72" i="1" s="1"/>
  <c r="Q72" i="1"/>
  <c r="AC72" i="1" s="1"/>
  <c r="R71" i="1"/>
  <c r="AD71" i="1" s="1"/>
  <c r="Q71" i="1"/>
  <c r="AC71" i="1" s="1"/>
  <c r="R70" i="1"/>
  <c r="AD70" i="1" s="1"/>
  <c r="Q70" i="1"/>
  <c r="AC70" i="1" s="1"/>
  <c r="R69" i="1"/>
  <c r="AD69" i="1" s="1"/>
  <c r="Q69" i="1"/>
  <c r="AC69" i="1" s="1"/>
  <c r="R68" i="1"/>
  <c r="AD68" i="1" s="1"/>
  <c r="Q68" i="1"/>
  <c r="AC68" i="1" s="1"/>
  <c r="R67" i="1"/>
  <c r="AD67" i="1" s="1"/>
  <c r="Q67" i="1"/>
  <c r="AC67" i="1" s="1"/>
  <c r="R66" i="1"/>
  <c r="AD66" i="1" s="1"/>
  <c r="Q66" i="1"/>
  <c r="AC66" i="1" s="1"/>
  <c r="R65" i="1"/>
  <c r="AD65" i="1" s="1"/>
  <c r="Q65" i="1"/>
  <c r="AC65" i="1" s="1"/>
  <c r="R64" i="1"/>
  <c r="AD64" i="1" s="1"/>
  <c r="Q64" i="1"/>
  <c r="AC64" i="1" s="1"/>
  <c r="R63" i="1"/>
  <c r="AD63" i="1" s="1"/>
  <c r="Q63" i="1"/>
  <c r="AC63" i="1" s="1"/>
  <c r="R62" i="1"/>
  <c r="AD62" i="1" s="1"/>
  <c r="Q62" i="1"/>
  <c r="AC62" i="1" s="1"/>
  <c r="R61" i="1"/>
  <c r="AD61" i="1" s="1"/>
  <c r="Q61" i="1"/>
  <c r="AC61" i="1" s="1"/>
  <c r="R60" i="1"/>
  <c r="AD60" i="1" s="1"/>
  <c r="Q60" i="1"/>
  <c r="AC60" i="1" s="1"/>
  <c r="R59" i="1"/>
  <c r="AD59" i="1" s="1"/>
  <c r="Q59" i="1"/>
  <c r="AC59" i="1" s="1"/>
  <c r="R58" i="1"/>
  <c r="AD58" i="1" s="1"/>
  <c r="Q58" i="1"/>
  <c r="AC58" i="1" s="1"/>
  <c r="R57" i="1"/>
  <c r="AD57" i="1" s="1"/>
  <c r="Q57" i="1"/>
  <c r="AC57" i="1" s="1"/>
  <c r="R56" i="1"/>
  <c r="AD56" i="1" s="1"/>
  <c r="Q56" i="1"/>
  <c r="AC56" i="1" s="1"/>
  <c r="R55" i="1"/>
  <c r="AD55" i="1" s="1"/>
  <c r="Q55" i="1"/>
  <c r="AC55" i="1" s="1"/>
  <c r="R54" i="1"/>
  <c r="AD54" i="1" s="1"/>
  <c r="Q54" i="1"/>
  <c r="AC54" i="1" s="1"/>
  <c r="R53" i="1"/>
  <c r="AD53" i="1" s="1"/>
  <c r="Q53" i="1"/>
  <c r="AC53" i="1" s="1"/>
  <c r="R52" i="1"/>
  <c r="AD52" i="1" s="1"/>
  <c r="Q52" i="1"/>
  <c r="R51" i="1"/>
  <c r="AD51" i="1" s="1"/>
  <c r="Q51" i="1"/>
  <c r="AC51" i="1" s="1"/>
  <c r="R50" i="1"/>
  <c r="AD50" i="1" s="1"/>
  <c r="Q50" i="1"/>
  <c r="AC50" i="1" s="1"/>
  <c r="R49" i="1"/>
  <c r="AD49" i="1" s="1"/>
  <c r="Q49" i="1"/>
  <c r="AC49" i="1" s="1"/>
  <c r="R48" i="1"/>
  <c r="AD48" i="1" s="1"/>
  <c r="Q48" i="1"/>
  <c r="AC48" i="1" s="1"/>
  <c r="R47" i="1"/>
  <c r="AD47" i="1" s="1"/>
  <c r="Q47" i="1"/>
  <c r="AC47" i="1" s="1"/>
  <c r="R46" i="1"/>
  <c r="AD46" i="1" s="1"/>
  <c r="Q46" i="1"/>
  <c r="AC46" i="1" s="1"/>
  <c r="R45" i="1"/>
  <c r="AD45" i="1" s="1"/>
  <c r="Q45" i="1"/>
  <c r="AC45" i="1" s="1"/>
  <c r="R44" i="1"/>
  <c r="AD44" i="1" s="1"/>
  <c r="Q44" i="1"/>
  <c r="AC44" i="1" s="1"/>
  <c r="R43" i="1"/>
  <c r="AD43" i="1" s="1"/>
  <c r="Q43" i="1"/>
  <c r="AC43" i="1" s="1"/>
  <c r="R42" i="1"/>
  <c r="AD42" i="1" s="1"/>
  <c r="Q42" i="1"/>
  <c r="AC42" i="1" s="1"/>
  <c r="R41" i="1"/>
  <c r="AD41" i="1" s="1"/>
  <c r="Q41" i="1"/>
  <c r="AC41" i="1" s="1"/>
  <c r="R40" i="1"/>
  <c r="AD40" i="1" s="1"/>
  <c r="Q40" i="1"/>
  <c r="AC40" i="1" s="1"/>
  <c r="R39" i="1"/>
  <c r="AD39" i="1" s="1"/>
  <c r="Q39" i="1"/>
  <c r="AC39" i="1" s="1"/>
  <c r="R38" i="1"/>
  <c r="AD38" i="1" s="1"/>
  <c r="Q38" i="1"/>
  <c r="AC38" i="1" s="1"/>
  <c r="R37" i="1"/>
  <c r="AD37" i="1" s="1"/>
  <c r="Q37" i="1"/>
  <c r="AC37" i="1" s="1"/>
  <c r="R36" i="1"/>
  <c r="AD36" i="1" s="1"/>
  <c r="Q36" i="1"/>
  <c r="AC36" i="1" s="1"/>
  <c r="R35" i="1"/>
  <c r="AD35" i="1" s="1"/>
  <c r="Q35" i="1"/>
  <c r="AC35" i="1" s="1"/>
  <c r="R34" i="1"/>
  <c r="AD34" i="1" s="1"/>
  <c r="Q34" i="1"/>
  <c r="AC34" i="1" s="1"/>
  <c r="R33" i="1"/>
  <c r="AD33" i="1" s="1"/>
  <c r="Q33" i="1"/>
  <c r="AC33" i="1" s="1"/>
  <c r="R32" i="1"/>
  <c r="AD32" i="1" s="1"/>
  <c r="Q32" i="1"/>
  <c r="AC32" i="1" s="1"/>
  <c r="R31" i="1"/>
  <c r="AD31" i="1" s="1"/>
  <c r="Q31" i="1"/>
  <c r="AC31" i="1" s="1"/>
  <c r="R30" i="1"/>
  <c r="AD30" i="1" s="1"/>
  <c r="Q30" i="1"/>
  <c r="AC30" i="1" s="1"/>
  <c r="R29" i="1"/>
  <c r="AD29" i="1" s="1"/>
  <c r="Q29" i="1"/>
  <c r="AC29" i="1" s="1"/>
  <c r="R28" i="1"/>
  <c r="AD28" i="1" s="1"/>
  <c r="Q28" i="1"/>
  <c r="AC28" i="1" s="1"/>
  <c r="R27" i="1"/>
  <c r="AD27" i="1" s="1"/>
  <c r="Q27" i="1"/>
  <c r="AC27" i="1" s="1"/>
  <c r="R26" i="1"/>
  <c r="AD26" i="1" s="1"/>
  <c r="Q26" i="1"/>
  <c r="AC26" i="1" s="1"/>
  <c r="R25" i="1"/>
  <c r="AD25" i="1" s="1"/>
  <c r="Q25" i="1"/>
  <c r="AC25" i="1" s="1"/>
  <c r="R24" i="1"/>
  <c r="AD24" i="1" s="1"/>
  <c r="Q24" i="1"/>
  <c r="AC24" i="1" s="1"/>
  <c r="R23" i="1"/>
  <c r="AD23" i="1" s="1"/>
  <c r="Q23" i="1"/>
  <c r="AC23" i="1" s="1"/>
  <c r="R22" i="1"/>
  <c r="AD22" i="1" s="1"/>
  <c r="Q22" i="1"/>
  <c r="AC22" i="1" s="1"/>
  <c r="R21" i="1"/>
  <c r="AD21" i="1" s="1"/>
  <c r="Q21" i="1"/>
  <c r="AC21" i="1" s="1"/>
  <c r="R20" i="1"/>
  <c r="AD20" i="1" s="1"/>
  <c r="Q20" i="1"/>
  <c r="AC20" i="1" s="1"/>
  <c r="R19" i="1"/>
  <c r="AD19" i="1" s="1"/>
  <c r="Q19" i="1"/>
  <c r="AC19" i="1" s="1"/>
  <c r="R18" i="1"/>
  <c r="AD18" i="1" s="1"/>
  <c r="Q18" i="1"/>
  <c r="AC18" i="1" s="1"/>
  <c r="R17" i="1"/>
  <c r="AD17" i="1" s="1"/>
  <c r="Q17" i="1"/>
  <c r="AC17" i="1" s="1"/>
  <c r="R16" i="1"/>
  <c r="AD16" i="1" s="1"/>
  <c r="Q16" i="1"/>
  <c r="AC16" i="1" s="1"/>
  <c r="R15" i="1"/>
  <c r="AD15" i="1" s="1"/>
  <c r="Q15" i="1"/>
  <c r="AC15" i="1" s="1"/>
  <c r="R14" i="1"/>
  <c r="AD14" i="1" s="1"/>
  <c r="Q14" i="1"/>
  <c r="AC14" i="1" s="1"/>
  <c r="R13" i="1"/>
  <c r="AD13" i="1" s="1"/>
  <c r="Q13" i="1"/>
  <c r="AC13" i="1" s="1"/>
  <c r="R12" i="1"/>
  <c r="AD12" i="1" s="1"/>
  <c r="Q12" i="1"/>
  <c r="AC12" i="1" s="1"/>
  <c r="R11" i="1"/>
  <c r="AD11" i="1" s="1"/>
  <c r="Q11" i="1"/>
  <c r="AC11" i="1" s="1"/>
  <c r="R10" i="1"/>
  <c r="AD10" i="1" s="1"/>
  <c r="Q10" i="1"/>
  <c r="AC10" i="1" s="1"/>
  <c r="R9" i="1"/>
  <c r="AD9" i="1" s="1"/>
  <c r="Q9" i="1"/>
  <c r="AC9" i="1" s="1"/>
  <c r="R8" i="1"/>
  <c r="AD8" i="1" s="1"/>
  <c r="Q8" i="1"/>
  <c r="AC8" i="1" s="1"/>
  <c r="R7" i="1"/>
  <c r="AD7" i="1" s="1"/>
  <c r="Q7" i="1"/>
  <c r="AC7" i="1" s="1"/>
  <c r="R6" i="1"/>
  <c r="AD6" i="1" s="1"/>
  <c r="Q6" i="1"/>
  <c r="AC6" i="1" s="1"/>
  <c r="R5" i="1"/>
  <c r="AD5" i="1" s="1"/>
  <c r="Q5" i="1"/>
  <c r="AC5" i="1" s="1"/>
  <c r="R4" i="1"/>
  <c r="AD4" i="1" s="1"/>
  <c r="Q4" i="1"/>
  <c r="AC4" i="1" s="1"/>
  <c r="R3" i="1"/>
  <c r="AD3" i="1" s="1"/>
  <c r="Q3" i="1"/>
  <c r="AC3" i="1" s="1"/>
  <c r="R2" i="1"/>
  <c r="AD2" i="1" s="1"/>
  <c r="Q2" i="1"/>
  <c r="AC2" i="1" s="1"/>
  <c r="P151" i="1"/>
  <c r="O151" i="1"/>
  <c r="X151" i="1" s="1"/>
  <c r="P150" i="1"/>
  <c r="O150" i="1"/>
  <c r="X150" i="1" s="1"/>
  <c r="P149" i="1"/>
  <c r="O149" i="1"/>
  <c r="X149" i="1" s="1"/>
  <c r="P148" i="1"/>
  <c r="O148" i="1"/>
  <c r="X148" i="1" s="1"/>
  <c r="P147" i="1"/>
  <c r="O147" i="1"/>
  <c r="X147" i="1" s="1"/>
  <c r="P146" i="1"/>
  <c r="O146" i="1"/>
  <c r="X146" i="1" s="1"/>
  <c r="P145" i="1"/>
  <c r="O145" i="1"/>
  <c r="X145" i="1" s="1"/>
  <c r="P144" i="1"/>
  <c r="O144" i="1"/>
  <c r="X144" i="1" s="1"/>
  <c r="P143" i="1"/>
  <c r="O143" i="1"/>
  <c r="X143" i="1" s="1"/>
  <c r="P142" i="1"/>
  <c r="O142" i="1"/>
  <c r="X142" i="1" s="1"/>
  <c r="P141" i="1"/>
  <c r="O141" i="1"/>
  <c r="X141" i="1" s="1"/>
  <c r="P140" i="1"/>
  <c r="O140" i="1"/>
  <c r="X140" i="1" s="1"/>
  <c r="P139" i="1"/>
  <c r="O139" i="1"/>
  <c r="X139" i="1" s="1"/>
  <c r="P138" i="1"/>
  <c r="O138" i="1"/>
  <c r="X138" i="1" s="1"/>
  <c r="P137" i="1"/>
  <c r="O137" i="1"/>
  <c r="X137" i="1" s="1"/>
  <c r="P136" i="1"/>
  <c r="O136" i="1"/>
  <c r="X136" i="1" s="1"/>
  <c r="P135" i="1"/>
  <c r="O135" i="1"/>
  <c r="X135" i="1" s="1"/>
  <c r="P134" i="1"/>
  <c r="O134" i="1"/>
  <c r="X134" i="1" s="1"/>
  <c r="P133" i="1"/>
  <c r="O133" i="1"/>
  <c r="X133" i="1" s="1"/>
  <c r="P132" i="1"/>
  <c r="O132" i="1"/>
  <c r="X132" i="1" s="1"/>
  <c r="P131" i="1"/>
  <c r="O131" i="1"/>
  <c r="X131" i="1" s="1"/>
  <c r="P130" i="1"/>
  <c r="O130" i="1"/>
  <c r="X130" i="1" s="1"/>
  <c r="P129" i="1"/>
  <c r="O129" i="1"/>
  <c r="X129" i="1" s="1"/>
  <c r="P128" i="1"/>
  <c r="O128" i="1"/>
  <c r="X128" i="1" s="1"/>
  <c r="P127" i="1"/>
  <c r="O127" i="1"/>
  <c r="X127" i="1" s="1"/>
  <c r="P126" i="1"/>
  <c r="O126" i="1"/>
  <c r="X126" i="1" s="1"/>
  <c r="P125" i="1"/>
  <c r="O125" i="1"/>
  <c r="X125" i="1" s="1"/>
  <c r="P124" i="1"/>
  <c r="O124" i="1"/>
  <c r="X124" i="1" s="1"/>
  <c r="P123" i="1"/>
  <c r="O123" i="1"/>
  <c r="X123" i="1" s="1"/>
  <c r="P122" i="1"/>
  <c r="O122" i="1"/>
  <c r="X122" i="1" s="1"/>
  <c r="P121" i="1"/>
  <c r="O121" i="1"/>
  <c r="X121" i="1" s="1"/>
  <c r="P120" i="1"/>
  <c r="O120" i="1"/>
  <c r="X120" i="1" s="1"/>
  <c r="P119" i="1"/>
  <c r="O119" i="1"/>
  <c r="X119" i="1" s="1"/>
  <c r="P118" i="1"/>
  <c r="O118" i="1"/>
  <c r="X118" i="1" s="1"/>
  <c r="P117" i="1"/>
  <c r="O117" i="1"/>
  <c r="X117" i="1" s="1"/>
  <c r="P116" i="1"/>
  <c r="O116" i="1"/>
  <c r="X116" i="1" s="1"/>
  <c r="P115" i="1"/>
  <c r="O115" i="1"/>
  <c r="X115" i="1" s="1"/>
  <c r="P114" i="1"/>
  <c r="O114" i="1"/>
  <c r="X114" i="1" s="1"/>
  <c r="P113" i="1"/>
  <c r="O113" i="1"/>
  <c r="X113" i="1" s="1"/>
  <c r="P112" i="1"/>
  <c r="O112" i="1"/>
  <c r="X112" i="1" s="1"/>
  <c r="P111" i="1"/>
  <c r="O111" i="1"/>
  <c r="X111" i="1" s="1"/>
  <c r="P110" i="1"/>
  <c r="O110" i="1"/>
  <c r="X110" i="1" s="1"/>
  <c r="P109" i="1"/>
  <c r="O109" i="1"/>
  <c r="X109" i="1" s="1"/>
  <c r="P108" i="1"/>
  <c r="O108" i="1"/>
  <c r="X108" i="1" s="1"/>
  <c r="P107" i="1"/>
  <c r="O107" i="1"/>
  <c r="X107" i="1" s="1"/>
  <c r="P106" i="1"/>
  <c r="O106" i="1"/>
  <c r="X106" i="1" s="1"/>
  <c r="P105" i="1"/>
  <c r="O105" i="1"/>
  <c r="X105" i="1" s="1"/>
  <c r="P104" i="1"/>
  <c r="O104" i="1"/>
  <c r="X104" i="1" s="1"/>
  <c r="P103" i="1"/>
  <c r="O103" i="1"/>
  <c r="X103" i="1" s="1"/>
  <c r="P102" i="1"/>
  <c r="O102" i="1"/>
  <c r="X102" i="1" s="1"/>
  <c r="P101" i="1"/>
  <c r="O101" i="1"/>
  <c r="X101" i="1" s="1"/>
  <c r="P100" i="1"/>
  <c r="O100" i="1"/>
  <c r="X100" i="1" s="1"/>
  <c r="P99" i="1"/>
  <c r="O99" i="1"/>
  <c r="X99" i="1" s="1"/>
  <c r="P98" i="1"/>
  <c r="O98" i="1"/>
  <c r="X98" i="1" s="1"/>
  <c r="P97" i="1"/>
  <c r="O97" i="1"/>
  <c r="X97" i="1" s="1"/>
  <c r="P96" i="1"/>
  <c r="O96" i="1"/>
  <c r="X96" i="1" s="1"/>
  <c r="P95" i="1"/>
  <c r="O95" i="1"/>
  <c r="X95" i="1" s="1"/>
  <c r="P94" i="1"/>
  <c r="O94" i="1"/>
  <c r="X94" i="1" s="1"/>
  <c r="P93" i="1"/>
  <c r="O93" i="1"/>
  <c r="X93" i="1" s="1"/>
  <c r="P92" i="1"/>
  <c r="O92" i="1"/>
  <c r="X92" i="1" s="1"/>
  <c r="P91" i="1"/>
  <c r="O91" i="1"/>
  <c r="X91" i="1" s="1"/>
  <c r="P90" i="1"/>
  <c r="O90" i="1"/>
  <c r="X90" i="1" s="1"/>
  <c r="P89" i="1"/>
  <c r="O89" i="1"/>
  <c r="X89" i="1" s="1"/>
  <c r="P88" i="1"/>
  <c r="O88" i="1"/>
  <c r="X88" i="1" s="1"/>
  <c r="P87" i="1"/>
  <c r="O87" i="1"/>
  <c r="X87" i="1" s="1"/>
  <c r="P86" i="1"/>
  <c r="O86" i="1"/>
  <c r="X86" i="1" s="1"/>
  <c r="P85" i="1"/>
  <c r="O85" i="1"/>
  <c r="X85" i="1" s="1"/>
  <c r="P84" i="1"/>
  <c r="O84" i="1"/>
  <c r="X84" i="1" s="1"/>
  <c r="P83" i="1"/>
  <c r="O83" i="1"/>
  <c r="X83" i="1" s="1"/>
  <c r="P82" i="1"/>
  <c r="O82" i="1"/>
  <c r="X82" i="1" s="1"/>
  <c r="P81" i="1"/>
  <c r="O81" i="1"/>
  <c r="X81" i="1" s="1"/>
  <c r="P80" i="1"/>
  <c r="O80" i="1"/>
  <c r="X80" i="1" s="1"/>
  <c r="P79" i="1"/>
  <c r="O79" i="1"/>
  <c r="X79" i="1" s="1"/>
  <c r="P78" i="1"/>
  <c r="O78" i="1"/>
  <c r="X78" i="1" s="1"/>
  <c r="P77" i="1"/>
  <c r="O77" i="1"/>
  <c r="X77" i="1" s="1"/>
  <c r="P76" i="1"/>
  <c r="O76" i="1"/>
  <c r="X76" i="1" s="1"/>
  <c r="P75" i="1"/>
  <c r="O75" i="1"/>
  <c r="X75" i="1" s="1"/>
  <c r="P74" i="1"/>
  <c r="O74" i="1"/>
  <c r="X74" i="1" s="1"/>
  <c r="P73" i="1"/>
  <c r="O73" i="1"/>
  <c r="X73" i="1" s="1"/>
  <c r="P72" i="1"/>
  <c r="O72" i="1"/>
  <c r="X72" i="1" s="1"/>
  <c r="P71" i="1"/>
  <c r="O71" i="1"/>
  <c r="X71" i="1" s="1"/>
  <c r="P70" i="1"/>
  <c r="O70" i="1"/>
  <c r="X70" i="1" s="1"/>
  <c r="P69" i="1"/>
  <c r="O69" i="1"/>
  <c r="X69" i="1" s="1"/>
  <c r="P68" i="1"/>
  <c r="O68" i="1"/>
  <c r="X68" i="1" s="1"/>
  <c r="P67" i="1"/>
  <c r="O67" i="1"/>
  <c r="X67" i="1" s="1"/>
  <c r="P66" i="1"/>
  <c r="O66" i="1"/>
  <c r="X66" i="1" s="1"/>
  <c r="P65" i="1"/>
  <c r="O65" i="1"/>
  <c r="X65" i="1" s="1"/>
  <c r="P64" i="1"/>
  <c r="O64" i="1"/>
  <c r="X64" i="1" s="1"/>
  <c r="P63" i="1"/>
  <c r="O63" i="1"/>
  <c r="X63" i="1" s="1"/>
  <c r="P62" i="1"/>
  <c r="O62" i="1"/>
  <c r="X62" i="1" s="1"/>
  <c r="P61" i="1"/>
  <c r="O61" i="1"/>
  <c r="X61" i="1" s="1"/>
  <c r="P60" i="1"/>
  <c r="O60" i="1"/>
  <c r="X60" i="1" s="1"/>
  <c r="P59" i="1"/>
  <c r="O59" i="1"/>
  <c r="X59" i="1" s="1"/>
  <c r="P58" i="1"/>
  <c r="O58" i="1"/>
  <c r="X58" i="1" s="1"/>
  <c r="P57" i="1"/>
  <c r="O57" i="1"/>
  <c r="X57" i="1" s="1"/>
  <c r="P56" i="1"/>
  <c r="O56" i="1"/>
  <c r="X56" i="1" s="1"/>
  <c r="P55" i="1"/>
  <c r="O55" i="1"/>
  <c r="X55" i="1" s="1"/>
  <c r="P54" i="1"/>
  <c r="O54" i="1"/>
  <c r="X54" i="1" s="1"/>
  <c r="P53" i="1"/>
  <c r="O53" i="1"/>
  <c r="X53" i="1" s="1"/>
  <c r="P52" i="1"/>
  <c r="O52" i="1"/>
  <c r="X52" i="1" s="1"/>
  <c r="P51" i="1"/>
  <c r="O51" i="1"/>
  <c r="X51" i="1" s="1"/>
  <c r="P50" i="1"/>
  <c r="O50" i="1"/>
  <c r="X50" i="1" s="1"/>
  <c r="P49" i="1"/>
  <c r="O49" i="1"/>
  <c r="X49" i="1" s="1"/>
  <c r="P48" i="1"/>
  <c r="O48" i="1"/>
  <c r="X48" i="1" s="1"/>
  <c r="P47" i="1"/>
  <c r="O47" i="1"/>
  <c r="X47" i="1" s="1"/>
  <c r="P46" i="1"/>
  <c r="O46" i="1"/>
  <c r="X46" i="1" s="1"/>
  <c r="P45" i="1"/>
  <c r="O45" i="1"/>
  <c r="X45" i="1" s="1"/>
  <c r="P44" i="1"/>
  <c r="O44" i="1"/>
  <c r="X44" i="1" s="1"/>
  <c r="P43" i="1"/>
  <c r="O43" i="1"/>
  <c r="X43" i="1" s="1"/>
  <c r="P42" i="1"/>
  <c r="O42" i="1"/>
  <c r="X42" i="1" s="1"/>
  <c r="P41" i="1"/>
  <c r="O41" i="1"/>
  <c r="X41" i="1" s="1"/>
  <c r="P40" i="1"/>
  <c r="O40" i="1"/>
  <c r="X40" i="1" s="1"/>
  <c r="P39" i="1"/>
  <c r="O39" i="1"/>
  <c r="X39" i="1" s="1"/>
  <c r="P38" i="1"/>
  <c r="O38" i="1"/>
  <c r="X38" i="1" s="1"/>
  <c r="P37" i="1"/>
  <c r="O37" i="1"/>
  <c r="X37" i="1" s="1"/>
  <c r="P36" i="1"/>
  <c r="O36" i="1"/>
  <c r="X36" i="1" s="1"/>
  <c r="P35" i="1"/>
  <c r="O35" i="1"/>
  <c r="X35" i="1" s="1"/>
  <c r="P34" i="1"/>
  <c r="O34" i="1"/>
  <c r="X34" i="1" s="1"/>
  <c r="P33" i="1"/>
  <c r="O33" i="1"/>
  <c r="X33" i="1" s="1"/>
  <c r="P32" i="1"/>
  <c r="O32" i="1"/>
  <c r="X32" i="1" s="1"/>
  <c r="P31" i="1"/>
  <c r="O31" i="1"/>
  <c r="X31" i="1" s="1"/>
  <c r="P30" i="1"/>
  <c r="O30" i="1"/>
  <c r="X30" i="1" s="1"/>
  <c r="P29" i="1"/>
  <c r="O29" i="1"/>
  <c r="X29" i="1" s="1"/>
  <c r="P28" i="1"/>
  <c r="O28" i="1"/>
  <c r="X28" i="1" s="1"/>
  <c r="P27" i="1"/>
  <c r="O27" i="1"/>
  <c r="X27" i="1" s="1"/>
  <c r="P26" i="1"/>
  <c r="O26" i="1"/>
  <c r="X26" i="1" s="1"/>
  <c r="P25" i="1"/>
  <c r="O25" i="1"/>
  <c r="X25" i="1" s="1"/>
  <c r="P24" i="1"/>
  <c r="O24" i="1"/>
  <c r="X24" i="1" s="1"/>
  <c r="P23" i="1"/>
  <c r="O23" i="1"/>
  <c r="X23" i="1" s="1"/>
  <c r="P22" i="1"/>
  <c r="O22" i="1"/>
  <c r="X22" i="1" s="1"/>
  <c r="P21" i="1"/>
  <c r="O21" i="1"/>
  <c r="X21" i="1" s="1"/>
  <c r="P20" i="1"/>
  <c r="O20" i="1"/>
  <c r="X20" i="1" s="1"/>
  <c r="P19" i="1"/>
  <c r="O19" i="1"/>
  <c r="X19" i="1" s="1"/>
  <c r="P18" i="1"/>
  <c r="O18" i="1"/>
  <c r="X18" i="1" s="1"/>
  <c r="P17" i="1"/>
  <c r="O17" i="1"/>
  <c r="X17" i="1" s="1"/>
  <c r="P16" i="1"/>
  <c r="O16" i="1"/>
  <c r="X16" i="1" s="1"/>
  <c r="P15" i="1"/>
  <c r="O15" i="1"/>
  <c r="X15" i="1" s="1"/>
  <c r="P14" i="1"/>
  <c r="O14" i="1"/>
  <c r="X14" i="1" s="1"/>
  <c r="P13" i="1"/>
  <c r="O13" i="1"/>
  <c r="X13" i="1" s="1"/>
  <c r="P12" i="1"/>
  <c r="O12" i="1"/>
  <c r="X12" i="1" s="1"/>
  <c r="P11" i="1"/>
  <c r="O11" i="1"/>
  <c r="X11" i="1" s="1"/>
  <c r="P10" i="1"/>
  <c r="O10" i="1"/>
  <c r="X10" i="1" s="1"/>
  <c r="P9" i="1"/>
  <c r="O9" i="1"/>
  <c r="X9" i="1" s="1"/>
  <c r="P8" i="1"/>
  <c r="O8" i="1"/>
  <c r="X8" i="1" s="1"/>
  <c r="P7" i="1"/>
  <c r="O7" i="1"/>
  <c r="X7" i="1" s="1"/>
  <c r="P5" i="1"/>
  <c r="O5" i="1"/>
  <c r="X5" i="1" s="1"/>
  <c r="P4" i="1"/>
  <c r="O4" i="1"/>
  <c r="X4" i="1" s="1"/>
  <c r="P3" i="1"/>
  <c r="O3" i="1"/>
  <c r="X3" i="1" s="1"/>
  <c r="P2" i="1"/>
  <c r="O2" i="1"/>
  <c r="X2" i="1" s="1"/>
  <c r="O6" i="1"/>
  <c r="X6" i="1" s="1"/>
  <c r="P6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3" i="1"/>
  <c r="AE102" i="1"/>
  <c r="AE101" i="1"/>
  <c r="AE100" i="1"/>
  <c r="AE99" i="1"/>
  <c r="AE98" i="1"/>
  <c r="AE97" i="1"/>
  <c r="AE96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U52" i="1" l="1"/>
  <c r="AC52" i="1"/>
  <c r="V60" i="1"/>
  <c r="U68" i="1"/>
  <c r="U76" i="1"/>
  <c r="V84" i="1"/>
  <c r="V92" i="1"/>
  <c r="U100" i="1"/>
  <c r="U108" i="1"/>
  <c r="U116" i="1"/>
  <c r="V124" i="1"/>
  <c r="U74" i="1"/>
  <c r="AE74" i="1"/>
  <c r="U104" i="1"/>
  <c r="AE104" i="1"/>
  <c r="U95" i="1"/>
  <c r="AE95" i="1"/>
  <c r="U132" i="1"/>
  <c r="U140" i="1"/>
  <c r="U148" i="1"/>
  <c r="W150" i="1"/>
  <c r="AM150" i="1" s="1"/>
  <c r="W135" i="1"/>
  <c r="AM135" i="1" s="1"/>
  <c r="W139" i="1"/>
  <c r="Z139" i="1" s="1"/>
  <c r="W143" i="1"/>
  <c r="AM143" i="1" s="1"/>
  <c r="W147" i="1"/>
  <c r="AM147" i="1" s="1"/>
  <c r="W151" i="1"/>
  <c r="AM151" i="1" s="1"/>
  <c r="W128" i="1"/>
  <c r="AM128" i="1" s="1"/>
  <c r="W132" i="1"/>
  <c r="AM132" i="1" s="1"/>
  <c r="W136" i="1"/>
  <c r="Z136" i="1" s="1"/>
  <c r="W140" i="1"/>
  <c r="AM140" i="1" s="1"/>
  <c r="W144" i="1"/>
  <c r="AM144" i="1" s="1"/>
  <c r="W148" i="1"/>
  <c r="AM148" i="1" s="1"/>
  <c r="W133" i="1"/>
  <c r="Z133" i="1" s="1"/>
  <c r="W137" i="1"/>
  <c r="AM137" i="1" s="1"/>
  <c r="W141" i="1"/>
  <c r="AM141" i="1" s="1"/>
  <c r="W149" i="1"/>
  <c r="AM149" i="1" s="1"/>
  <c r="Z150" i="1"/>
  <c r="U144" i="1"/>
  <c r="T145" i="1"/>
  <c r="U72" i="1"/>
  <c r="W10" i="1"/>
  <c r="Z10" i="1" s="1"/>
  <c r="T10" i="1"/>
  <c r="W30" i="1"/>
  <c r="Z30" i="1" s="1"/>
  <c r="T30" i="1"/>
  <c r="W50" i="1"/>
  <c r="Z50" i="1" s="1"/>
  <c r="T50" i="1"/>
  <c r="W74" i="1"/>
  <c r="Z74" i="1" s="1"/>
  <c r="T74" i="1"/>
  <c r="W94" i="1"/>
  <c r="Z94" i="1" s="1"/>
  <c r="T94" i="1"/>
  <c r="W114" i="1"/>
  <c r="Z114" i="1" s="1"/>
  <c r="T114" i="1"/>
  <c r="U17" i="1"/>
  <c r="U41" i="1"/>
  <c r="U49" i="1"/>
  <c r="U57" i="1"/>
  <c r="U73" i="1"/>
  <c r="U81" i="1"/>
  <c r="U89" i="1"/>
  <c r="U97" i="1"/>
  <c r="U128" i="1"/>
  <c r="W26" i="1"/>
  <c r="Z26" i="1" s="1"/>
  <c r="T26" i="1"/>
  <c r="W46" i="1"/>
  <c r="Z46" i="1" s="1"/>
  <c r="T46" i="1"/>
  <c r="W70" i="1"/>
  <c r="Z70" i="1" s="1"/>
  <c r="T70" i="1"/>
  <c r="W86" i="1"/>
  <c r="Z86" i="1" s="1"/>
  <c r="T86" i="1"/>
  <c r="W110" i="1"/>
  <c r="Z110" i="1" s="1"/>
  <c r="T110" i="1"/>
  <c r="W130" i="1"/>
  <c r="Z130" i="1" s="1"/>
  <c r="T130" i="1"/>
  <c r="W146" i="1"/>
  <c r="Z146" i="1" s="1"/>
  <c r="T146" i="1"/>
  <c r="U9" i="1"/>
  <c r="U25" i="1"/>
  <c r="W2" i="1"/>
  <c r="Z2" i="1" s="1"/>
  <c r="T2" i="1"/>
  <c r="W7" i="1"/>
  <c r="Z7" i="1" s="1"/>
  <c r="T7" i="1"/>
  <c r="T11" i="1"/>
  <c r="W11" i="1"/>
  <c r="Z11" i="1" s="1"/>
  <c r="W15" i="1"/>
  <c r="Z15" i="1" s="1"/>
  <c r="T15" i="1"/>
  <c r="W19" i="1"/>
  <c r="Z19" i="1" s="1"/>
  <c r="T19" i="1"/>
  <c r="W23" i="1"/>
  <c r="Z23" i="1" s="1"/>
  <c r="T23" i="1"/>
  <c r="T27" i="1"/>
  <c r="W27" i="1"/>
  <c r="Z27" i="1" s="1"/>
  <c r="W31" i="1"/>
  <c r="Z31" i="1" s="1"/>
  <c r="T31" i="1"/>
  <c r="W35" i="1"/>
  <c r="Z35" i="1" s="1"/>
  <c r="T35" i="1"/>
  <c r="W39" i="1"/>
  <c r="Z39" i="1" s="1"/>
  <c r="T39" i="1"/>
  <c r="W43" i="1"/>
  <c r="Z43" i="1" s="1"/>
  <c r="T43" i="1"/>
  <c r="W47" i="1"/>
  <c r="Z47" i="1" s="1"/>
  <c r="T47" i="1"/>
  <c r="W51" i="1"/>
  <c r="Z51" i="1" s="1"/>
  <c r="T51" i="1"/>
  <c r="W55" i="1"/>
  <c r="Z55" i="1" s="1"/>
  <c r="T55" i="1"/>
  <c r="W59" i="1"/>
  <c r="Z59" i="1" s="1"/>
  <c r="T59" i="1"/>
  <c r="W63" i="1"/>
  <c r="Z63" i="1" s="1"/>
  <c r="T63" i="1"/>
  <c r="W67" i="1"/>
  <c r="Z67" i="1" s="1"/>
  <c r="T67" i="1"/>
  <c r="W71" i="1"/>
  <c r="Z71" i="1" s="1"/>
  <c r="T71" i="1"/>
  <c r="W75" i="1"/>
  <c r="Z75" i="1" s="1"/>
  <c r="T75" i="1"/>
  <c r="W79" i="1"/>
  <c r="Z79" i="1" s="1"/>
  <c r="T79" i="1"/>
  <c r="W83" i="1"/>
  <c r="Z83" i="1" s="1"/>
  <c r="T83" i="1"/>
  <c r="W87" i="1"/>
  <c r="Z87" i="1" s="1"/>
  <c r="T87" i="1"/>
  <c r="W91" i="1"/>
  <c r="Z91" i="1" s="1"/>
  <c r="T91" i="1"/>
  <c r="W95" i="1"/>
  <c r="Z95" i="1" s="1"/>
  <c r="T95" i="1"/>
  <c r="W99" i="1"/>
  <c r="Z99" i="1" s="1"/>
  <c r="T99" i="1"/>
  <c r="W103" i="1"/>
  <c r="Z103" i="1" s="1"/>
  <c r="T103" i="1"/>
  <c r="W107" i="1"/>
  <c r="Z107" i="1" s="1"/>
  <c r="T107" i="1"/>
  <c r="W111" i="1"/>
  <c r="Z111" i="1" s="1"/>
  <c r="T111" i="1"/>
  <c r="W115" i="1"/>
  <c r="Z115" i="1" s="1"/>
  <c r="T115" i="1"/>
  <c r="W119" i="1"/>
  <c r="Z119" i="1" s="1"/>
  <c r="T119" i="1"/>
  <c r="W123" i="1"/>
  <c r="Z123" i="1" s="1"/>
  <c r="T123" i="1"/>
  <c r="W127" i="1"/>
  <c r="Z127" i="1" s="1"/>
  <c r="T127" i="1"/>
  <c r="W131" i="1"/>
  <c r="Z131" i="1" s="1"/>
  <c r="T131" i="1"/>
  <c r="U113" i="1"/>
  <c r="U121" i="1"/>
  <c r="U129" i="1"/>
  <c r="U137" i="1"/>
  <c r="U145" i="1"/>
  <c r="U64" i="1"/>
  <c r="U120" i="1"/>
  <c r="U136" i="1"/>
  <c r="W18" i="1"/>
  <c r="Z18" i="1" s="1"/>
  <c r="T18" i="1"/>
  <c r="W38" i="1"/>
  <c r="Z38" i="1" s="1"/>
  <c r="T38" i="1"/>
  <c r="W58" i="1"/>
  <c r="Z58" i="1" s="1"/>
  <c r="T58" i="1"/>
  <c r="W82" i="1"/>
  <c r="Z82" i="1" s="1"/>
  <c r="T82" i="1"/>
  <c r="W102" i="1"/>
  <c r="Z102" i="1" s="1"/>
  <c r="T102" i="1"/>
  <c r="W122" i="1"/>
  <c r="Z122" i="1" s="1"/>
  <c r="T122" i="1"/>
  <c r="W138" i="1"/>
  <c r="Z138" i="1" s="1"/>
  <c r="T138" i="1"/>
  <c r="V10" i="1"/>
  <c r="U42" i="1"/>
  <c r="V50" i="1"/>
  <c r="V58" i="1"/>
  <c r="V66" i="1"/>
  <c r="V74" i="1"/>
  <c r="V82" i="1"/>
  <c r="V90" i="1"/>
  <c r="U94" i="1"/>
  <c r="V98" i="1"/>
  <c r="U102" i="1"/>
  <c r="U106" i="1"/>
  <c r="U110" i="1"/>
  <c r="U114" i="1"/>
  <c r="U118" i="1"/>
  <c r="U122" i="1"/>
  <c r="U126" i="1"/>
  <c r="V130" i="1"/>
  <c r="U134" i="1"/>
  <c r="U138" i="1"/>
  <c r="U142" i="1"/>
  <c r="U146" i="1"/>
  <c r="U150" i="1"/>
  <c r="W6" i="1"/>
  <c r="Z6" i="1" s="1"/>
  <c r="T6" i="1"/>
  <c r="W5" i="1"/>
  <c r="Z5" i="1" s="1"/>
  <c r="T5" i="1"/>
  <c r="W14" i="1"/>
  <c r="Z14" i="1" s="1"/>
  <c r="T14" i="1"/>
  <c r="W34" i="1"/>
  <c r="Z34" i="1" s="1"/>
  <c r="T34" i="1"/>
  <c r="W54" i="1"/>
  <c r="Z54" i="1" s="1"/>
  <c r="T54" i="1"/>
  <c r="W62" i="1"/>
  <c r="Z62" i="1" s="1"/>
  <c r="T62" i="1"/>
  <c r="W78" i="1"/>
  <c r="Z78" i="1" s="1"/>
  <c r="T78" i="1"/>
  <c r="W98" i="1"/>
  <c r="Z98" i="1" s="1"/>
  <c r="T98" i="1"/>
  <c r="W118" i="1"/>
  <c r="Z118" i="1" s="1"/>
  <c r="T118" i="1"/>
  <c r="W134" i="1"/>
  <c r="Z134" i="1" s="1"/>
  <c r="T134" i="1"/>
  <c r="W3" i="1"/>
  <c r="Z3" i="1" s="1"/>
  <c r="T3" i="1"/>
  <c r="T8" i="1"/>
  <c r="W8" i="1"/>
  <c r="Z8" i="1" s="1"/>
  <c r="T12" i="1"/>
  <c r="W12" i="1"/>
  <c r="Z12" i="1" s="1"/>
  <c r="W16" i="1"/>
  <c r="Z16" i="1" s="1"/>
  <c r="T16" i="1"/>
  <c r="W20" i="1"/>
  <c r="Z20" i="1" s="1"/>
  <c r="T20" i="1"/>
  <c r="T24" i="1"/>
  <c r="W24" i="1"/>
  <c r="Z24" i="1" s="1"/>
  <c r="T28" i="1"/>
  <c r="W28" i="1"/>
  <c r="Z28" i="1" s="1"/>
  <c r="W32" i="1"/>
  <c r="Z32" i="1" s="1"/>
  <c r="T32" i="1"/>
  <c r="W36" i="1"/>
  <c r="Z36" i="1" s="1"/>
  <c r="T36" i="1"/>
  <c r="W40" i="1"/>
  <c r="Z40" i="1" s="1"/>
  <c r="T40" i="1"/>
  <c r="W44" i="1"/>
  <c r="Z44" i="1" s="1"/>
  <c r="T44" i="1"/>
  <c r="W48" i="1"/>
  <c r="Z48" i="1" s="1"/>
  <c r="T48" i="1"/>
  <c r="W52" i="1"/>
  <c r="Z52" i="1" s="1"/>
  <c r="T52" i="1"/>
  <c r="W56" i="1"/>
  <c r="Z56" i="1" s="1"/>
  <c r="T56" i="1"/>
  <c r="W60" i="1"/>
  <c r="Z60" i="1" s="1"/>
  <c r="T60" i="1"/>
  <c r="W64" i="1"/>
  <c r="Z64" i="1" s="1"/>
  <c r="T64" i="1"/>
  <c r="W68" i="1"/>
  <c r="Z68" i="1" s="1"/>
  <c r="T68" i="1"/>
  <c r="W72" i="1"/>
  <c r="Z72" i="1" s="1"/>
  <c r="T72" i="1"/>
  <c r="W76" i="1"/>
  <c r="Z76" i="1" s="1"/>
  <c r="T76" i="1"/>
  <c r="W80" i="1"/>
  <c r="Z80" i="1" s="1"/>
  <c r="T80" i="1"/>
  <c r="W84" i="1"/>
  <c r="Z84" i="1" s="1"/>
  <c r="T84" i="1"/>
  <c r="W88" i="1"/>
  <c r="Z88" i="1" s="1"/>
  <c r="T88" i="1"/>
  <c r="W92" i="1"/>
  <c r="Z92" i="1" s="1"/>
  <c r="T92" i="1"/>
  <c r="W96" i="1"/>
  <c r="Z96" i="1" s="1"/>
  <c r="T96" i="1"/>
  <c r="W100" i="1"/>
  <c r="Z100" i="1" s="1"/>
  <c r="T100" i="1"/>
  <c r="W104" i="1"/>
  <c r="Z104" i="1" s="1"/>
  <c r="T104" i="1"/>
  <c r="W108" i="1"/>
  <c r="Z108" i="1" s="1"/>
  <c r="T108" i="1"/>
  <c r="W112" i="1"/>
  <c r="Z112" i="1" s="1"/>
  <c r="T112" i="1"/>
  <c r="W116" i="1"/>
  <c r="Z116" i="1" s="1"/>
  <c r="T116" i="1"/>
  <c r="W120" i="1"/>
  <c r="Z120" i="1" s="1"/>
  <c r="T120" i="1"/>
  <c r="W124" i="1"/>
  <c r="Z124" i="1" s="1"/>
  <c r="T124" i="1"/>
  <c r="U31" i="1"/>
  <c r="U59" i="1"/>
  <c r="U83" i="1"/>
  <c r="U91" i="1"/>
  <c r="U99" i="1"/>
  <c r="U112" i="1"/>
  <c r="W22" i="1"/>
  <c r="Z22" i="1" s="1"/>
  <c r="T22" i="1"/>
  <c r="W42" i="1"/>
  <c r="Z42" i="1" s="1"/>
  <c r="T42" i="1"/>
  <c r="W66" i="1"/>
  <c r="Z66" i="1" s="1"/>
  <c r="T66" i="1"/>
  <c r="W90" i="1"/>
  <c r="Z90" i="1" s="1"/>
  <c r="T90" i="1"/>
  <c r="W106" i="1"/>
  <c r="Z106" i="1" s="1"/>
  <c r="T106" i="1"/>
  <c r="W126" i="1"/>
  <c r="Z126" i="1" s="1"/>
  <c r="T126" i="1"/>
  <c r="W142" i="1"/>
  <c r="Z142" i="1" s="1"/>
  <c r="T142" i="1"/>
  <c r="W4" i="1"/>
  <c r="Z4" i="1" s="1"/>
  <c r="T4" i="1"/>
  <c r="W9" i="1"/>
  <c r="Z9" i="1" s="1"/>
  <c r="T9" i="1"/>
  <c r="W13" i="1"/>
  <c r="Z13" i="1" s="1"/>
  <c r="T13" i="1"/>
  <c r="W17" i="1"/>
  <c r="Z17" i="1" s="1"/>
  <c r="T17" i="1"/>
  <c r="W21" i="1"/>
  <c r="Z21" i="1" s="1"/>
  <c r="T21" i="1"/>
  <c r="W25" i="1"/>
  <c r="Z25" i="1" s="1"/>
  <c r="T25" i="1"/>
  <c r="W29" i="1"/>
  <c r="Z29" i="1" s="1"/>
  <c r="T29" i="1"/>
  <c r="W33" i="1"/>
  <c r="Z33" i="1" s="1"/>
  <c r="T33" i="1"/>
  <c r="W37" i="1"/>
  <c r="Z37" i="1" s="1"/>
  <c r="T37" i="1"/>
  <c r="T41" i="1"/>
  <c r="W41" i="1"/>
  <c r="Z41" i="1" s="1"/>
  <c r="T45" i="1"/>
  <c r="W45" i="1"/>
  <c r="Z45" i="1" s="1"/>
  <c r="W49" i="1"/>
  <c r="Z49" i="1" s="1"/>
  <c r="T49" i="1"/>
  <c r="W53" i="1"/>
  <c r="Z53" i="1" s="1"/>
  <c r="T53" i="1"/>
  <c r="W57" i="1"/>
  <c r="Z57" i="1" s="1"/>
  <c r="T57" i="1"/>
  <c r="W61" i="1"/>
  <c r="Z61" i="1" s="1"/>
  <c r="T61" i="1"/>
  <c r="W65" i="1"/>
  <c r="Z65" i="1" s="1"/>
  <c r="T65" i="1"/>
  <c r="W69" i="1"/>
  <c r="Z69" i="1" s="1"/>
  <c r="T69" i="1"/>
  <c r="W73" i="1"/>
  <c r="Z73" i="1" s="1"/>
  <c r="T73" i="1"/>
  <c r="W77" i="1"/>
  <c r="Z77" i="1" s="1"/>
  <c r="T77" i="1"/>
  <c r="W81" i="1"/>
  <c r="Z81" i="1" s="1"/>
  <c r="T81" i="1"/>
  <c r="W85" i="1"/>
  <c r="Z85" i="1" s="1"/>
  <c r="T85" i="1"/>
  <c r="W89" i="1"/>
  <c r="Z89" i="1" s="1"/>
  <c r="T89" i="1"/>
  <c r="W93" i="1"/>
  <c r="Z93" i="1" s="1"/>
  <c r="T93" i="1"/>
  <c r="W97" i="1"/>
  <c r="Z97" i="1" s="1"/>
  <c r="T97" i="1"/>
  <c r="W101" i="1"/>
  <c r="Z101" i="1" s="1"/>
  <c r="T101" i="1"/>
  <c r="T105" i="1"/>
  <c r="W105" i="1"/>
  <c r="Z105" i="1" s="1"/>
  <c r="W109" i="1"/>
  <c r="Z109" i="1" s="1"/>
  <c r="T109" i="1"/>
  <c r="W113" i="1"/>
  <c r="Z113" i="1" s="1"/>
  <c r="T113" i="1"/>
  <c r="W117" i="1"/>
  <c r="Z117" i="1" s="1"/>
  <c r="T117" i="1"/>
  <c r="W121" i="1"/>
  <c r="Z121" i="1" s="1"/>
  <c r="T121" i="1"/>
  <c r="W125" i="1"/>
  <c r="Z125" i="1" s="1"/>
  <c r="T125" i="1"/>
  <c r="W129" i="1"/>
  <c r="Z129" i="1" s="1"/>
  <c r="T129" i="1"/>
  <c r="U51" i="1"/>
  <c r="U4" i="1"/>
  <c r="U12" i="1"/>
  <c r="U20" i="1"/>
  <c r="U28" i="1"/>
  <c r="U36" i="1"/>
  <c r="U44" i="1"/>
  <c r="T150" i="1"/>
  <c r="U84" i="1"/>
  <c r="V4" i="1"/>
  <c r="V36" i="1"/>
  <c r="V68" i="1"/>
  <c r="Y68" i="1" s="1"/>
  <c r="V100" i="1"/>
  <c r="V132" i="1"/>
  <c r="W145" i="1"/>
  <c r="Z145" i="1" s="1"/>
  <c r="V7" i="1"/>
  <c r="V15" i="1"/>
  <c r="V23" i="1"/>
  <c r="V31" i="1"/>
  <c r="V39" i="1"/>
  <c r="V47" i="1"/>
  <c r="V55" i="1"/>
  <c r="V63" i="1"/>
  <c r="V71" i="1"/>
  <c r="V79" i="1"/>
  <c r="V87" i="1"/>
  <c r="V95" i="1"/>
  <c r="V103" i="1"/>
  <c r="V111" i="1"/>
  <c r="V119" i="1"/>
  <c r="V127" i="1"/>
  <c r="V135" i="1"/>
  <c r="V143" i="1"/>
  <c r="V151" i="1"/>
  <c r="T135" i="1"/>
  <c r="T143" i="1"/>
  <c r="T151" i="1"/>
  <c r="U103" i="1"/>
  <c r="U63" i="1"/>
  <c r="U50" i="1"/>
  <c r="V42" i="1"/>
  <c r="V106" i="1"/>
  <c r="V138" i="1"/>
  <c r="U2" i="1"/>
  <c r="U10" i="1"/>
  <c r="U18" i="1"/>
  <c r="U26" i="1"/>
  <c r="U34" i="1"/>
  <c r="T128" i="1"/>
  <c r="T136" i="1"/>
  <c r="T144" i="1"/>
  <c r="U151" i="1"/>
  <c r="U143" i="1"/>
  <c r="U135" i="1"/>
  <c r="U127" i="1"/>
  <c r="Y127" i="1" s="1"/>
  <c r="U119" i="1"/>
  <c r="U111" i="1"/>
  <c r="U92" i="1"/>
  <c r="U82" i="1"/>
  <c r="U60" i="1"/>
  <c r="Y60" i="1" s="1"/>
  <c r="U23" i="1"/>
  <c r="V12" i="1"/>
  <c r="V44" i="1"/>
  <c r="V76" i="1"/>
  <c r="V108" i="1"/>
  <c r="V140" i="1"/>
  <c r="Y140" i="1" s="1"/>
  <c r="U5" i="1"/>
  <c r="V5" i="1"/>
  <c r="U13" i="1"/>
  <c r="V13" i="1"/>
  <c r="U21" i="1"/>
  <c r="V21" i="1"/>
  <c r="U29" i="1"/>
  <c r="V29" i="1"/>
  <c r="U37" i="1"/>
  <c r="V37" i="1"/>
  <c r="U45" i="1"/>
  <c r="V45" i="1"/>
  <c r="U53" i="1"/>
  <c r="V53" i="1"/>
  <c r="U61" i="1"/>
  <c r="V61" i="1"/>
  <c r="U69" i="1"/>
  <c r="V69" i="1"/>
  <c r="U77" i="1"/>
  <c r="V77" i="1"/>
  <c r="U85" i="1"/>
  <c r="V85" i="1"/>
  <c r="U93" i="1"/>
  <c r="V93" i="1"/>
  <c r="U101" i="1"/>
  <c r="V101" i="1"/>
  <c r="U109" i="1"/>
  <c r="V109" i="1"/>
  <c r="V117" i="1"/>
  <c r="V125" i="1"/>
  <c r="V133" i="1"/>
  <c r="V141" i="1"/>
  <c r="V149" i="1"/>
  <c r="T137" i="1"/>
  <c r="U71" i="1"/>
  <c r="U47" i="1"/>
  <c r="V18" i="1"/>
  <c r="V114" i="1"/>
  <c r="V146" i="1"/>
  <c r="U8" i="1"/>
  <c r="V8" i="1"/>
  <c r="U16" i="1"/>
  <c r="V16" i="1"/>
  <c r="U24" i="1"/>
  <c r="V24" i="1"/>
  <c r="U32" i="1"/>
  <c r="V32" i="1"/>
  <c r="U40" i="1"/>
  <c r="V40" i="1"/>
  <c r="U48" i="1"/>
  <c r="V48" i="1"/>
  <c r="U56" i="1"/>
  <c r="V56" i="1"/>
  <c r="V64" i="1"/>
  <c r="V72" i="1"/>
  <c r="V80" i="1"/>
  <c r="V88" i="1"/>
  <c r="V96" i="1"/>
  <c r="V104" i="1"/>
  <c r="V112" i="1"/>
  <c r="V120" i="1"/>
  <c r="V128" i="1"/>
  <c r="V136" i="1"/>
  <c r="V144" i="1"/>
  <c r="U149" i="1"/>
  <c r="Y149" i="1" s="1"/>
  <c r="U141" i="1"/>
  <c r="U133" i="1"/>
  <c r="U125" i="1"/>
  <c r="U117" i="1"/>
  <c r="Y117" i="1" s="1"/>
  <c r="U90" i="1"/>
  <c r="U80" i="1"/>
  <c r="U58" i="1"/>
  <c r="Y58" i="1" s="1"/>
  <c r="U15" i="1"/>
  <c r="V20" i="1"/>
  <c r="V52" i="1"/>
  <c r="Y52" i="1" s="1"/>
  <c r="V116" i="1"/>
  <c r="V148" i="1"/>
  <c r="Y148" i="1" s="1"/>
  <c r="V3" i="1"/>
  <c r="U3" i="1"/>
  <c r="V11" i="1"/>
  <c r="U11" i="1"/>
  <c r="V19" i="1"/>
  <c r="U19" i="1"/>
  <c r="V27" i="1"/>
  <c r="U27" i="1"/>
  <c r="V35" i="1"/>
  <c r="U35" i="1"/>
  <c r="V43" i="1"/>
  <c r="U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T139" i="1"/>
  <c r="T147" i="1"/>
  <c r="U124" i="1"/>
  <c r="Y124" i="1" s="1"/>
  <c r="U107" i="1"/>
  <c r="U98" i="1"/>
  <c r="U79" i="1"/>
  <c r="U67" i="1"/>
  <c r="V26" i="1"/>
  <c r="V122" i="1"/>
  <c r="V6" i="1"/>
  <c r="U6" i="1"/>
  <c r="V14" i="1"/>
  <c r="U14" i="1"/>
  <c r="V22" i="1"/>
  <c r="U22" i="1"/>
  <c r="V30" i="1"/>
  <c r="U30" i="1"/>
  <c r="V38" i="1"/>
  <c r="U38" i="1"/>
  <c r="V46" i="1"/>
  <c r="U46" i="1"/>
  <c r="V54" i="1"/>
  <c r="U54" i="1"/>
  <c r="V62" i="1"/>
  <c r="U62" i="1"/>
  <c r="V70" i="1"/>
  <c r="U70" i="1"/>
  <c r="V78" i="1"/>
  <c r="U78" i="1"/>
  <c r="V86" i="1"/>
  <c r="U86" i="1"/>
  <c r="V94" i="1"/>
  <c r="V102" i="1"/>
  <c r="V110" i="1"/>
  <c r="V118" i="1"/>
  <c r="V126" i="1"/>
  <c r="V134" i="1"/>
  <c r="V142" i="1"/>
  <c r="V150" i="1"/>
  <c r="T132" i="1"/>
  <c r="T140" i="1"/>
  <c r="T148" i="1"/>
  <c r="U147" i="1"/>
  <c r="U139" i="1"/>
  <c r="U131" i="1"/>
  <c r="U123" i="1"/>
  <c r="U115" i="1"/>
  <c r="U88" i="1"/>
  <c r="U66" i="1"/>
  <c r="U55" i="1"/>
  <c r="U39" i="1"/>
  <c r="U7" i="1"/>
  <c r="V28" i="1"/>
  <c r="V9" i="1"/>
  <c r="V17" i="1"/>
  <c r="V25" i="1"/>
  <c r="V33" i="1"/>
  <c r="V41" i="1"/>
  <c r="V49" i="1"/>
  <c r="V57" i="1"/>
  <c r="V65" i="1"/>
  <c r="V73" i="1"/>
  <c r="V81" i="1"/>
  <c r="V89" i="1"/>
  <c r="V97" i="1"/>
  <c r="V105" i="1"/>
  <c r="V113" i="1"/>
  <c r="V121" i="1"/>
  <c r="V129" i="1"/>
  <c r="V137" i="1"/>
  <c r="V145" i="1"/>
  <c r="T133" i="1"/>
  <c r="T141" i="1"/>
  <c r="T149" i="1"/>
  <c r="U130" i="1"/>
  <c r="U105" i="1"/>
  <c r="U96" i="1"/>
  <c r="U87" i="1"/>
  <c r="U75" i="1"/>
  <c r="Y75" i="1" s="1"/>
  <c r="U65" i="1"/>
  <c r="U33" i="1"/>
  <c r="Y33" i="1" s="1"/>
  <c r="V2" i="1"/>
  <c r="V34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53" i="1" l="1"/>
  <c r="L153" i="1"/>
  <c r="J153" i="1"/>
  <c r="AU153" i="1"/>
  <c r="AV152" i="1" s="1"/>
  <c r="Y90" i="1"/>
  <c r="AA90" i="1" s="1"/>
  <c r="Y76" i="1"/>
  <c r="AA76" i="1" s="1"/>
  <c r="Y98" i="1"/>
  <c r="AA98" i="1" s="1"/>
  <c r="AU154" i="1"/>
  <c r="Y95" i="1"/>
  <c r="AA95" i="1" s="1"/>
  <c r="Y130" i="1"/>
  <c r="AA130" i="1" s="1"/>
  <c r="Y92" i="1"/>
  <c r="AA92" i="1" s="1"/>
  <c r="Y84" i="1"/>
  <c r="AA84" i="1" s="1"/>
  <c r="Y100" i="1"/>
  <c r="AA100" i="1" s="1"/>
  <c r="Y116" i="1"/>
  <c r="AA116" i="1" s="1"/>
  <c r="Y108" i="1"/>
  <c r="AA108" i="1" s="1"/>
  <c r="Y74" i="1"/>
  <c r="AA74" i="1" s="1"/>
  <c r="Y104" i="1"/>
  <c r="AA104" i="1" s="1"/>
  <c r="Y39" i="1"/>
  <c r="AA39" i="1" s="1"/>
  <c r="Y132" i="1"/>
  <c r="Y7" i="1"/>
  <c r="AA7" i="1" s="1"/>
  <c r="Z144" i="1"/>
  <c r="Z147" i="1"/>
  <c r="Z135" i="1"/>
  <c r="Z151" i="1"/>
  <c r="Y63" i="1"/>
  <c r="AA63" i="1" s="1"/>
  <c r="Y55" i="1"/>
  <c r="AA55" i="1" s="1"/>
  <c r="Z132" i="1"/>
  <c r="Z149" i="1"/>
  <c r="AA149" i="1" s="1"/>
  <c r="AM4" i="1"/>
  <c r="AR4" i="1" s="1"/>
  <c r="Y131" i="1"/>
  <c r="AA131" i="1" s="1"/>
  <c r="AM139" i="1"/>
  <c r="AR139" i="1" s="1"/>
  <c r="AR132" i="1"/>
  <c r="AO132" i="1"/>
  <c r="AR149" i="1"/>
  <c r="AO149" i="1"/>
  <c r="AR128" i="1"/>
  <c r="AO128" i="1"/>
  <c r="AM126" i="1"/>
  <c r="AM120" i="1"/>
  <c r="AR141" i="1"/>
  <c r="AO141" i="1"/>
  <c r="AR148" i="1"/>
  <c r="AO148" i="1"/>
  <c r="AM108" i="1"/>
  <c r="AR135" i="1"/>
  <c r="AO135" i="1"/>
  <c r="AR137" i="1"/>
  <c r="AO137" i="1"/>
  <c r="AR144" i="1"/>
  <c r="AO144" i="1"/>
  <c r="AM44" i="1"/>
  <c r="AM115" i="1"/>
  <c r="Z128" i="1"/>
  <c r="AR140" i="1"/>
  <c r="AO140" i="1"/>
  <c r="AM16" i="1"/>
  <c r="AM83" i="1"/>
  <c r="AM129" i="1"/>
  <c r="AR151" i="1"/>
  <c r="AO151" i="1"/>
  <c r="AM19" i="1"/>
  <c r="AM101" i="1"/>
  <c r="AR147" i="1"/>
  <c r="AO147" i="1"/>
  <c r="AM94" i="1"/>
  <c r="AM33" i="1"/>
  <c r="AR143" i="1"/>
  <c r="AO143" i="1"/>
  <c r="AR150" i="1"/>
  <c r="AO150" i="1"/>
  <c r="AM91" i="1"/>
  <c r="Z143" i="1"/>
  <c r="AM109" i="1"/>
  <c r="AM13" i="1"/>
  <c r="AM112" i="1"/>
  <c r="AM24" i="1"/>
  <c r="AM111" i="1"/>
  <c r="AM15" i="1"/>
  <c r="Z148" i="1"/>
  <c r="AA148" i="1" s="1"/>
  <c r="AM97" i="1"/>
  <c r="AM88" i="1"/>
  <c r="AM12" i="1"/>
  <c r="AM74" i="1"/>
  <c r="Y82" i="1"/>
  <c r="AA82" i="1" s="1"/>
  <c r="AM77" i="1"/>
  <c r="AM110" i="1"/>
  <c r="AM80" i="1"/>
  <c r="AM70" i="1"/>
  <c r="AM79" i="1"/>
  <c r="AM54" i="1"/>
  <c r="AM69" i="1"/>
  <c r="AM26" i="1"/>
  <c r="AM76" i="1"/>
  <c r="AM34" i="1"/>
  <c r="AM59" i="1"/>
  <c r="AM62" i="1"/>
  <c r="AM65" i="1"/>
  <c r="AM6" i="1"/>
  <c r="AM56" i="1"/>
  <c r="AM51" i="1"/>
  <c r="AM37" i="1"/>
  <c r="AM48" i="1"/>
  <c r="AM123" i="1"/>
  <c r="AM47" i="1"/>
  <c r="AM133" i="1"/>
  <c r="AM105" i="1"/>
  <c r="AM73" i="1"/>
  <c r="AM41" i="1"/>
  <c r="AM9" i="1"/>
  <c r="AM22" i="1"/>
  <c r="AM5" i="1"/>
  <c r="AM136" i="1"/>
  <c r="AM116" i="1"/>
  <c r="AM84" i="1"/>
  <c r="AM52" i="1"/>
  <c r="AM20" i="1"/>
  <c r="AM50" i="1"/>
  <c r="AM119" i="1"/>
  <c r="AM87" i="1"/>
  <c r="AM55" i="1"/>
  <c r="AM23" i="1"/>
  <c r="AM42" i="1"/>
  <c r="Y15" i="1"/>
  <c r="AA15" i="1" s="1"/>
  <c r="AM134" i="1"/>
  <c r="AM14" i="1"/>
  <c r="AM30" i="1"/>
  <c r="AM38" i="1"/>
  <c r="Y66" i="1"/>
  <c r="AA66" i="1" s="1"/>
  <c r="Y144" i="1"/>
  <c r="Y135" i="1"/>
  <c r="Y103" i="1"/>
  <c r="AA103" i="1" s="1"/>
  <c r="AM145" i="1"/>
  <c r="AM125" i="1"/>
  <c r="AM93" i="1"/>
  <c r="AM61" i="1"/>
  <c r="AM29" i="1"/>
  <c r="AM114" i="1"/>
  <c r="AM90" i="1"/>
  <c r="AM104" i="1"/>
  <c r="AM72" i="1"/>
  <c r="AM40" i="1"/>
  <c r="AM8" i="1"/>
  <c r="AM107" i="1"/>
  <c r="AM75" i="1"/>
  <c r="AM43" i="1"/>
  <c r="AM11" i="1"/>
  <c r="AM10" i="1"/>
  <c r="AM27" i="1"/>
  <c r="Y23" i="1"/>
  <c r="AA23" i="1" s="1"/>
  <c r="Z141" i="1"/>
  <c r="AM121" i="1"/>
  <c r="AM89" i="1"/>
  <c r="AM57" i="1"/>
  <c r="AM25" i="1"/>
  <c r="AM98" i="1"/>
  <c r="AM78" i="1"/>
  <c r="AM100" i="1"/>
  <c r="AM68" i="1"/>
  <c r="AM36" i="1"/>
  <c r="AM3" i="1"/>
  <c r="AM103" i="1"/>
  <c r="AM71" i="1"/>
  <c r="AM39" i="1"/>
  <c r="AM7" i="1"/>
  <c r="AM122" i="1"/>
  <c r="AM146" i="1"/>
  <c r="AM45" i="1"/>
  <c r="AM18" i="1"/>
  <c r="Y115" i="1"/>
  <c r="AA115" i="1" s="1"/>
  <c r="Z140" i="1"/>
  <c r="AA140" i="1" s="1"/>
  <c r="Z137" i="1"/>
  <c r="AM117" i="1"/>
  <c r="AM85" i="1"/>
  <c r="AM53" i="1"/>
  <c r="AM21" i="1"/>
  <c r="AM82" i="1"/>
  <c r="AM66" i="1"/>
  <c r="AM96" i="1"/>
  <c r="AM64" i="1"/>
  <c r="AM32" i="1"/>
  <c r="AM2" i="1"/>
  <c r="AM131" i="1"/>
  <c r="AM99" i="1"/>
  <c r="AM67" i="1"/>
  <c r="AM35" i="1"/>
  <c r="AM130" i="1"/>
  <c r="AM102" i="1"/>
  <c r="AM142" i="1"/>
  <c r="Y87" i="1"/>
  <c r="AA87" i="1" s="1"/>
  <c r="Y123" i="1"/>
  <c r="AA123" i="1" s="1"/>
  <c r="Y79" i="1"/>
  <c r="AA79" i="1" s="1"/>
  <c r="AM113" i="1"/>
  <c r="AM81" i="1"/>
  <c r="AM49" i="1"/>
  <c r="AM17" i="1"/>
  <c r="AM58" i="1"/>
  <c r="AM46" i="1"/>
  <c r="AM124" i="1"/>
  <c r="AM92" i="1"/>
  <c r="AM60" i="1"/>
  <c r="AM28" i="1"/>
  <c r="AM106" i="1"/>
  <c r="AM127" i="1"/>
  <c r="AM95" i="1"/>
  <c r="AM63" i="1"/>
  <c r="AM31" i="1"/>
  <c r="AM118" i="1"/>
  <c r="AM86" i="1"/>
  <c r="AM138" i="1"/>
  <c r="Y101" i="1"/>
  <c r="AA101" i="1" s="1"/>
  <c r="Y69" i="1"/>
  <c r="AA69" i="1" s="1"/>
  <c r="Y37" i="1"/>
  <c r="AA37" i="1" s="1"/>
  <c r="Y5" i="1"/>
  <c r="AA5" i="1" s="1"/>
  <c r="Y65" i="1"/>
  <c r="AA65" i="1" s="1"/>
  <c r="Y88" i="1"/>
  <c r="AA88" i="1" s="1"/>
  <c r="Y10" i="1"/>
  <c r="AA10" i="1" s="1"/>
  <c r="Y85" i="1"/>
  <c r="AA85" i="1" s="1"/>
  <c r="Y53" i="1"/>
  <c r="AA53" i="1" s="1"/>
  <c r="Y21" i="1"/>
  <c r="AA21" i="1" s="1"/>
  <c r="Y96" i="1"/>
  <c r="AA96" i="1" s="1"/>
  <c r="Y125" i="1"/>
  <c r="AA125" i="1" s="1"/>
  <c r="Y107" i="1"/>
  <c r="AA107" i="1" s="1"/>
  <c r="Y71" i="1"/>
  <c r="AA71" i="1" s="1"/>
  <c r="Y67" i="1"/>
  <c r="AA67" i="1" s="1"/>
  <c r="Y12" i="1"/>
  <c r="AA12" i="1" s="1"/>
  <c r="Y134" i="1"/>
  <c r="AA134" i="1" s="1"/>
  <c r="Y102" i="1"/>
  <c r="AA102" i="1" s="1"/>
  <c r="Y42" i="1"/>
  <c r="AA42" i="1" s="1"/>
  <c r="Y86" i="1"/>
  <c r="AA86" i="1" s="1"/>
  <c r="Y54" i="1"/>
  <c r="AA54" i="1" s="1"/>
  <c r="Y22" i="1"/>
  <c r="AA22" i="1" s="1"/>
  <c r="Y27" i="1"/>
  <c r="AA27" i="1" s="1"/>
  <c r="Y47" i="1"/>
  <c r="AA47" i="1" s="1"/>
  <c r="Y59" i="1"/>
  <c r="AA59" i="1" s="1"/>
  <c r="Y105" i="1"/>
  <c r="AA105" i="1" s="1"/>
  <c r="Y133" i="1"/>
  <c r="AA133" i="1" s="1"/>
  <c r="Y111" i="1"/>
  <c r="AA111" i="1" s="1"/>
  <c r="Y70" i="1"/>
  <c r="AA70" i="1" s="1"/>
  <c r="Y38" i="1"/>
  <c r="AA38" i="1" s="1"/>
  <c r="Y6" i="1"/>
  <c r="AA6" i="1" s="1"/>
  <c r="Y43" i="1"/>
  <c r="AA43" i="1" s="1"/>
  <c r="Y11" i="1"/>
  <c r="AA11" i="1" s="1"/>
  <c r="Y48" i="1"/>
  <c r="AA48" i="1" s="1"/>
  <c r="Y16" i="1"/>
  <c r="AA16" i="1" s="1"/>
  <c r="Y121" i="1"/>
  <c r="AA121" i="1" s="1"/>
  <c r="AA75" i="1"/>
  <c r="Y26" i="1"/>
  <c r="AA26" i="1" s="1"/>
  <c r="Y40" i="1"/>
  <c r="AA40" i="1" s="1"/>
  <c r="Y8" i="1"/>
  <c r="AA8" i="1" s="1"/>
  <c r="Y18" i="1"/>
  <c r="AA18" i="1" s="1"/>
  <c r="Y4" i="1"/>
  <c r="AA4" i="1" s="1"/>
  <c r="Y136" i="1"/>
  <c r="AA136" i="1" s="1"/>
  <c r="Y113" i="1"/>
  <c r="AA113" i="1" s="1"/>
  <c r="Y81" i="1"/>
  <c r="AA81" i="1" s="1"/>
  <c r="Y83" i="1"/>
  <c r="AA83" i="1" s="1"/>
  <c r="Y80" i="1"/>
  <c r="AA80" i="1" s="1"/>
  <c r="Y93" i="1"/>
  <c r="AA93" i="1" s="1"/>
  <c r="Y61" i="1"/>
  <c r="AA61" i="1" s="1"/>
  <c r="Y29" i="1"/>
  <c r="AA29" i="1" s="1"/>
  <c r="Y143" i="1"/>
  <c r="Y51" i="1"/>
  <c r="AA51" i="1" s="1"/>
  <c r="Y31" i="1"/>
  <c r="AA31" i="1" s="1"/>
  <c r="AA68" i="1"/>
  <c r="AA52" i="1"/>
  <c r="Y126" i="1"/>
  <c r="AA126" i="1" s="1"/>
  <c r="Y94" i="1"/>
  <c r="AA94" i="1" s="1"/>
  <c r="Y120" i="1"/>
  <c r="AA120" i="1" s="1"/>
  <c r="Y73" i="1"/>
  <c r="AA73" i="1" s="1"/>
  <c r="Y78" i="1"/>
  <c r="AA78" i="1" s="1"/>
  <c r="Y46" i="1"/>
  <c r="AA46" i="1" s="1"/>
  <c r="Y14" i="1"/>
  <c r="AA14" i="1" s="1"/>
  <c r="Y19" i="1"/>
  <c r="AA19" i="1" s="1"/>
  <c r="Y32" i="1"/>
  <c r="AA32" i="1" s="1"/>
  <c r="Y151" i="1"/>
  <c r="Y2" i="1"/>
  <c r="AA2" i="1" s="1"/>
  <c r="AA117" i="1"/>
  <c r="Y122" i="1"/>
  <c r="AA122" i="1" s="1"/>
  <c r="Y57" i="1"/>
  <c r="AA57" i="1" s="1"/>
  <c r="Y139" i="1"/>
  <c r="AA139" i="1" s="1"/>
  <c r="Y44" i="1"/>
  <c r="AA44" i="1" s="1"/>
  <c r="Y112" i="1"/>
  <c r="AA112" i="1" s="1"/>
  <c r="Y150" i="1"/>
  <c r="AA150" i="1" s="1"/>
  <c r="Y118" i="1"/>
  <c r="AA118" i="1" s="1"/>
  <c r="AA58" i="1"/>
  <c r="Y64" i="1"/>
  <c r="AA64" i="1" s="1"/>
  <c r="Y49" i="1"/>
  <c r="AA49" i="1" s="1"/>
  <c r="Y147" i="1"/>
  <c r="Y56" i="1"/>
  <c r="AA56" i="1" s="1"/>
  <c r="Y24" i="1"/>
  <c r="AA24" i="1" s="1"/>
  <c r="Y36" i="1"/>
  <c r="AA36" i="1" s="1"/>
  <c r="AA33" i="1"/>
  <c r="Y146" i="1"/>
  <c r="AA146" i="1" s="1"/>
  <c r="Y114" i="1"/>
  <c r="AA114" i="1" s="1"/>
  <c r="Y145" i="1"/>
  <c r="AA145" i="1" s="1"/>
  <c r="Y25" i="1"/>
  <c r="AA25" i="1" s="1"/>
  <c r="Y128" i="1"/>
  <c r="Y41" i="1"/>
  <c r="AA41" i="1" s="1"/>
  <c r="Y109" i="1"/>
  <c r="AA109" i="1" s="1"/>
  <c r="Y77" i="1"/>
  <c r="AA77" i="1" s="1"/>
  <c r="Y45" i="1"/>
  <c r="AA45" i="1" s="1"/>
  <c r="Y13" i="1"/>
  <c r="AA13" i="1" s="1"/>
  <c r="Y28" i="1"/>
  <c r="AA28" i="1" s="1"/>
  <c r="Y99" i="1"/>
  <c r="AA99" i="1" s="1"/>
  <c r="AA124" i="1"/>
  <c r="AA60" i="1"/>
  <c r="Y142" i="1"/>
  <c r="AA142" i="1" s="1"/>
  <c r="Y110" i="1"/>
  <c r="AA110" i="1" s="1"/>
  <c r="Y137" i="1"/>
  <c r="AA127" i="1"/>
  <c r="Y9" i="1"/>
  <c r="AA9" i="1" s="1"/>
  <c r="Y17" i="1"/>
  <c r="AA17" i="1" s="1"/>
  <c r="Y72" i="1"/>
  <c r="AA72" i="1" s="1"/>
  <c r="Y89" i="1"/>
  <c r="AA89" i="1" s="1"/>
  <c r="Y62" i="1"/>
  <c r="AA62" i="1" s="1"/>
  <c r="Y30" i="1"/>
  <c r="AA30" i="1" s="1"/>
  <c r="Y35" i="1"/>
  <c r="AA35" i="1" s="1"/>
  <c r="Y3" i="1"/>
  <c r="AA3" i="1" s="1"/>
  <c r="Y141" i="1"/>
  <c r="Y119" i="1"/>
  <c r="AA119" i="1" s="1"/>
  <c r="Y34" i="1"/>
  <c r="AA34" i="1" s="1"/>
  <c r="Y50" i="1"/>
  <c r="AA50" i="1" s="1"/>
  <c r="Y20" i="1"/>
  <c r="AA20" i="1" s="1"/>
  <c r="Y91" i="1"/>
  <c r="AA91" i="1" s="1"/>
  <c r="Y138" i="1"/>
  <c r="AA138" i="1" s="1"/>
  <c r="Y106" i="1"/>
  <c r="AA106" i="1" s="1"/>
  <c r="Y129" i="1"/>
  <c r="AA129" i="1" s="1"/>
  <c r="Y97" i="1"/>
  <c r="AA97" i="1" s="1"/>
  <c r="AA132" i="1" l="1"/>
  <c r="AA151" i="1"/>
  <c r="AA135" i="1"/>
  <c r="AA147" i="1"/>
  <c r="AG147" i="1" s="1"/>
  <c r="AI147" i="1" s="1"/>
  <c r="AA144" i="1"/>
  <c r="AG144" i="1" s="1"/>
  <c r="AI144" i="1" s="1"/>
  <c r="AA143" i="1"/>
  <c r="AF143" i="1" s="1"/>
  <c r="AH143" i="1" s="1"/>
  <c r="AO139" i="1"/>
  <c r="AO4" i="1"/>
  <c r="AA128" i="1"/>
  <c r="AG128" i="1" s="1"/>
  <c r="AI128" i="1" s="1"/>
  <c r="AR64" i="1"/>
  <c r="AO64" i="1"/>
  <c r="AR10" i="1"/>
  <c r="AO10" i="1"/>
  <c r="AR52" i="1"/>
  <c r="AO52" i="1"/>
  <c r="AR74" i="1"/>
  <c r="AO74" i="1"/>
  <c r="AR96" i="1"/>
  <c r="AO96" i="1"/>
  <c r="AR11" i="1"/>
  <c r="AO11" i="1"/>
  <c r="AR54" i="1"/>
  <c r="AO54" i="1"/>
  <c r="AR138" i="1"/>
  <c r="AO138" i="1"/>
  <c r="AR28" i="1"/>
  <c r="AO28" i="1"/>
  <c r="AR81" i="1"/>
  <c r="AO81" i="1"/>
  <c r="AR35" i="1"/>
  <c r="AO35" i="1"/>
  <c r="AR66" i="1"/>
  <c r="AO66" i="1"/>
  <c r="AR103" i="1"/>
  <c r="AO103" i="1"/>
  <c r="AR57" i="1"/>
  <c r="AO57" i="1"/>
  <c r="AR43" i="1"/>
  <c r="AO43" i="1"/>
  <c r="AR114" i="1"/>
  <c r="AO114" i="1"/>
  <c r="AR23" i="1"/>
  <c r="AO23" i="1"/>
  <c r="AR116" i="1"/>
  <c r="AO116" i="1"/>
  <c r="AR133" i="1"/>
  <c r="AO133" i="1"/>
  <c r="AR65" i="1"/>
  <c r="AO65" i="1"/>
  <c r="AR79" i="1"/>
  <c r="AO79" i="1"/>
  <c r="AR88" i="1"/>
  <c r="AO88" i="1"/>
  <c r="AR109" i="1"/>
  <c r="AO109" i="1"/>
  <c r="AR94" i="1"/>
  <c r="AO94" i="1"/>
  <c r="AR83" i="1"/>
  <c r="AO83" i="1"/>
  <c r="AR69" i="1"/>
  <c r="AO69" i="1"/>
  <c r="AR25" i="1"/>
  <c r="AO25" i="1"/>
  <c r="AR105" i="1"/>
  <c r="AO105" i="1"/>
  <c r="AR13" i="1"/>
  <c r="AO13" i="1"/>
  <c r="AR60" i="1"/>
  <c r="AO60" i="1"/>
  <c r="AR18" i="1"/>
  <c r="AO18" i="1"/>
  <c r="AR3" i="1"/>
  <c r="AO3" i="1"/>
  <c r="AR89" i="1"/>
  <c r="AO89" i="1"/>
  <c r="AR75" i="1"/>
  <c r="AO75" i="1"/>
  <c r="AR29" i="1"/>
  <c r="AO29" i="1"/>
  <c r="AR55" i="1"/>
  <c r="AO55" i="1"/>
  <c r="AR136" i="1"/>
  <c r="AO136" i="1"/>
  <c r="AR47" i="1"/>
  <c r="AO47" i="1"/>
  <c r="AR62" i="1"/>
  <c r="AO62" i="1"/>
  <c r="AR70" i="1"/>
  <c r="AO70" i="1"/>
  <c r="AR97" i="1"/>
  <c r="AO97" i="1"/>
  <c r="AR16" i="1"/>
  <c r="AO16" i="1"/>
  <c r="AR17" i="1"/>
  <c r="AO17" i="1"/>
  <c r="AR104" i="1"/>
  <c r="AO104" i="1"/>
  <c r="AR56" i="1"/>
  <c r="AO56" i="1"/>
  <c r="AR106" i="1"/>
  <c r="AO106" i="1"/>
  <c r="AR42" i="1"/>
  <c r="AO42" i="1"/>
  <c r="AR12" i="1"/>
  <c r="AO12" i="1"/>
  <c r="AR113" i="1"/>
  <c r="AO113" i="1"/>
  <c r="AR118" i="1"/>
  <c r="AO118" i="1"/>
  <c r="AR21" i="1"/>
  <c r="AO21" i="1"/>
  <c r="AR107" i="1"/>
  <c r="AO107" i="1"/>
  <c r="AR123" i="1"/>
  <c r="AO123" i="1"/>
  <c r="AR91" i="1"/>
  <c r="AO91" i="1"/>
  <c r="AR120" i="1"/>
  <c r="AO120" i="1"/>
  <c r="AR102" i="1"/>
  <c r="AO102" i="1"/>
  <c r="AR98" i="1"/>
  <c r="AO98" i="1"/>
  <c r="AR112" i="1"/>
  <c r="AO112" i="1"/>
  <c r="AR130" i="1"/>
  <c r="AO130" i="1"/>
  <c r="AR90" i="1"/>
  <c r="AO90" i="1"/>
  <c r="AR6" i="1"/>
  <c r="AO6" i="1"/>
  <c r="AR129" i="1"/>
  <c r="AO129" i="1"/>
  <c r="AR86" i="1"/>
  <c r="AO86" i="1"/>
  <c r="AR82" i="1"/>
  <c r="AO82" i="1"/>
  <c r="AR92" i="1"/>
  <c r="AO92" i="1"/>
  <c r="AR99" i="1"/>
  <c r="AO99" i="1"/>
  <c r="AR36" i="1"/>
  <c r="AO36" i="1"/>
  <c r="AR61" i="1"/>
  <c r="AO61" i="1"/>
  <c r="AR87" i="1"/>
  <c r="AO87" i="1"/>
  <c r="AR59" i="1"/>
  <c r="AO59" i="1"/>
  <c r="AR31" i="1"/>
  <c r="AO31" i="1"/>
  <c r="AR124" i="1"/>
  <c r="AO124" i="1"/>
  <c r="AR131" i="1"/>
  <c r="AO131" i="1"/>
  <c r="AR53" i="1"/>
  <c r="AO53" i="1"/>
  <c r="AR146" i="1"/>
  <c r="AO146" i="1"/>
  <c r="AR68" i="1"/>
  <c r="AO68" i="1"/>
  <c r="AR8" i="1"/>
  <c r="AO8" i="1"/>
  <c r="AR93" i="1"/>
  <c r="AO93" i="1"/>
  <c r="AR30" i="1"/>
  <c r="AO30" i="1"/>
  <c r="AR119" i="1"/>
  <c r="AO119" i="1"/>
  <c r="AR22" i="1"/>
  <c r="AO22" i="1"/>
  <c r="AR48" i="1"/>
  <c r="AO48" i="1"/>
  <c r="AR34" i="1"/>
  <c r="AO34" i="1"/>
  <c r="AR110" i="1"/>
  <c r="AO110" i="1"/>
  <c r="AR15" i="1"/>
  <c r="AO15" i="1"/>
  <c r="AR101" i="1"/>
  <c r="AO101" i="1"/>
  <c r="AR126" i="1"/>
  <c r="AO126" i="1"/>
  <c r="AR63" i="1"/>
  <c r="AO63" i="1"/>
  <c r="AR46" i="1"/>
  <c r="AO46" i="1"/>
  <c r="AR2" i="1"/>
  <c r="AO2" i="1"/>
  <c r="AR85" i="1"/>
  <c r="AO85" i="1"/>
  <c r="AR122" i="1"/>
  <c r="AO122" i="1"/>
  <c r="AR100" i="1"/>
  <c r="AO100" i="1"/>
  <c r="AR40" i="1"/>
  <c r="AO40" i="1"/>
  <c r="AR125" i="1"/>
  <c r="AO125" i="1"/>
  <c r="AR14" i="1"/>
  <c r="AO14" i="1"/>
  <c r="AR50" i="1"/>
  <c r="AO50" i="1"/>
  <c r="AR9" i="1"/>
  <c r="AO9" i="1"/>
  <c r="AR37" i="1"/>
  <c r="AO37" i="1"/>
  <c r="AR76" i="1"/>
  <c r="AO76" i="1"/>
  <c r="AR77" i="1"/>
  <c r="AO77" i="1"/>
  <c r="AR111" i="1"/>
  <c r="AO111" i="1"/>
  <c r="AR19" i="1"/>
  <c r="AO19" i="1"/>
  <c r="AR127" i="1"/>
  <c r="AO127" i="1"/>
  <c r="AR39" i="1"/>
  <c r="AO39" i="1"/>
  <c r="AR73" i="1"/>
  <c r="AO73" i="1"/>
  <c r="AR44" i="1"/>
  <c r="AO44" i="1"/>
  <c r="AR49" i="1"/>
  <c r="AO49" i="1"/>
  <c r="AR71" i="1"/>
  <c r="AO71" i="1"/>
  <c r="AR84" i="1"/>
  <c r="AO84" i="1"/>
  <c r="AR33" i="1"/>
  <c r="AO33" i="1"/>
  <c r="AR67" i="1"/>
  <c r="AO67" i="1"/>
  <c r="AR45" i="1"/>
  <c r="AO45" i="1"/>
  <c r="AR121" i="1"/>
  <c r="AO121" i="1"/>
  <c r="AR38" i="1"/>
  <c r="AO38" i="1"/>
  <c r="AR5" i="1"/>
  <c r="AO5" i="1"/>
  <c r="AR80" i="1"/>
  <c r="AO80" i="1"/>
  <c r="AA137" i="1"/>
  <c r="AG137" i="1" s="1"/>
  <c r="AI137" i="1" s="1"/>
  <c r="AR95" i="1"/>
  <c r="AO95" i="1"/>
  <c r="AR58" i="1"/>
  <c r="AO58" i="1"/>
  <c r="AR142" i="1"/>
  <c r="AO142" i="1"/>
  <c r="AR32" i="1"/>
  <c r="AO32" i="1"/>
  <c r="AR117" i="1"/>
  <c r="AO117" i="1"/>
  <c r="AR7" i="1"/>
  <c r="AO7" i="1"/>
  <c r="AR78" i="1"/>
  <c r="AO78" i="1"/>
  <c r="AR27" i="1"/>
  <c r="AO27" i="1"/>
  <c r="AR72" i="1"/>
  <c r="AO72" i="1"/>
  <c r="AR145" i="1"/>
  <c r="AO145" i="1"/>
  <c r="AR134" i="1"/>
  <c r="AO134" i="1"/>
  <c r="AR20" i="1"/>
  <c r="AO20" i="1"/>
  <c r="AR41" i="1"/>
  <c r="AO41" i="1"/>
  <c r="AR51" i="1"/>
  <c r="AO51" i="1"/>
  <c r="AR26" i="1"/>
  <c r="AO26" i="1"/>
  <c r="AR24" i="1"/>
  <c r="AO24" i="1"/>
  <c r="AR115" i="1"/>
  <c r="AO115" i="1"/>
  <c r="AR108" i="1"/>
  <c r="AO108" i="1"/>
  <c r="AF18" i="1"/>
  <c r="AH18" i="1" s="1"/>
  <c r="AG18" i="1"/>
  <c r="AI18" i="1" s="1"/>
  <c r="AG67" i="1"/>
  <c r="AI67" i="1" s="1"/>
  <c r="AF67" i="1"/>
  <c r="AH67" i="1" s="1"/>
  <c r="AG10" i="1"/>
  <c r="AI10" i="1" s="1"/>
  <c r="AF10" i="1"/>
  <c r="AH10" i="1" s="1"/>
  <c r="AG66" i="1"/>
  <c r="AI66" i="1" s="1"/>
  <c r="AF66" i="1"/>
  <c r="AH66" i="1" s="1"/>
  <c r="AG93" i="1"/>
  <c r="AI93" i="1" s="1"/>
  <c r="AF93" i="1"/>
  <c r="AH93" i="1" s="1"/>
  <c r="AG31" i="1"/>
  <c r="AI31" i="1" s="1"/>
  <c r="AF31" i="1"/>
  <c r="AH31" i="1" s="1"/>
  <c r="AF120" i="1"/>
  <c r="AH120" i="1" s="1"/>
  <c r="AG120" i="1"/>
  <c r="AI120" i="1" s="1"/>
  <c r="AF32" i="1"/>
  <c r="AH32" i="1" s="1"/>
  <c r="AG32" i="1"/>
  <c r="AI32" i="1" s="1"/>
  <c r="AG41" i="1"/>
  <c r="AI41" i="1" s="1"/>
  <c r="AF41" i="1"/>
  <c r="AH41" i="1" s="1"/>
  <c r="AG136" i="1"/>
  <c r="AI136" i="1" s="1"/>
  <c r="AF136" i="1"/>
  <c r="AH136" i="1" s="1"/>
  <c r="AF38" i="1"/>
  <c r="AH38" i="1" s="1"/>
  <c r="AG38" i="1"/>
  <c r="AI38" i="1" s="1"/>
  <c r="AF97" i="1"/>
  <c r="AH97" i="1" s="1"/>
  <c r="AG97" i="1"/>
  <c r="AI97" i="1" s="1"/>
  <c r="AF61" i="1"/>
  <c r="AH61" i="1" s="1"/>
  <c r="AG61" i="1"/>
  <c r="AI61" i="1" s="1"/>
  <c r="AA141" i="1"/>
  <c r="AF86" i="1"/>
  <c r="AH86" i="1" s="1"/>
  <c r="AG86" i="1"/>
  <c r="AI86" i="1" s="1"/>
  <c r="AF111" i="1"/>
  <c r="AH111" i="1" s="1"/>
  <c r="AG111" i="1"/>
  <c r="AI111" i="1" s="1"/>
  <c r="AG76" i="1"/>
  <c r="AI76" i="1" s="1"/>
  <c r="AF76" i="1"/>
  <c r="AH76" i="1" s="1"/>
  <c r="AG45" i="1"/>
  <c r="AI45" i="1" s="1"/>
  <c r="AF45" i="1"/>
  <c r="AH45" i="1" s="1"/>
  <c r="AF33" i="1"/>
  <c r="AH33" i="1" s="1"/>
  <c r="AG33" i="1"/>
  <c r="AI33" i="1" s="1"/>
  <c r="AF139" i="1"/>
  <c r="AH139" i="1" s="1"/>
  <c r="AG139" i="1"/>
  <c r="AI139" i="1" s="1"/>
  <c r="AG53" i="1"/>
  <c r="AI53" i="1" s="1"/>
  <c r="AF53" i="1"/>
  <c r="AH53" i="1" s="1"/>
  <c r="AF140" i="1"/>
  <c r="AH140" i="1" s="1"/>
  <c r="AG140" i="1"/>
  <c r="AI140" i="1" s="1"/>
  <c r="AG130" i="1"/>
  <c r="AI130" i="1" s="1"/>
  <c r="AF130" i="1"/>
  <c r="AH130" i="1" s="1"/>
  <c r="AF82" i="1"/>
  <c r="AH82" i="1" s="1"/>
  <c r="AG82" i="1"/>
  <c r="AI82" i="1" s="1"/>
  <c r="AG116" i="1"/>
  <c r="AI116" i="1" s="1"/>
  <c r="AF116" i="1"/>
  <c r="AH116" i="1" s="1"/>
  <c r="AF148" i="1"/>
  <c r="AH148" i="1" s="1"/>
  <c r="AG148" i="1"/>
  <c r="AI148" i="1" s="1"/>
  <c r="AG121" i="1"/>
  <c r="AI121" i="1" s="1"/>
  <c r="AF121" i="1"/>
  <c r="AH121" i="1" s="1"/>
  <c r="AG70" i="1"/>
  <c r="AI70" i="1" s="1"/>
  <c r="AF70" i="1"/>
  <c r="AH70" i="1" s="1"/>
  <c r="AF22" i="1"/>
  <c r="AH22" i="1" s="1"/>
  <c r="AG22" i="1"/>
  <c r="AI22" i="1" s="1"/>
  <c r="AF71" i="1"/>
  <c r="AH71" i="1" s="1"/>
  <c r="AG71" i="1"/>
  <c r="AI71" i="1" s="1"/>
  <c r="AG88" i="1"/>
  <c r="AI88" i="1" s="1"/>
  <c r="AF88" i="1"/>
  <c r="AH88" i="1" s="1"/>
  <c r="AF95" i="1"/>
  <c r="AH95" i="1" s="1"/>
  <c r="AG95" i="1"/>
  <c r="AI95" i="1" s="1"/>
  <c r="AF151" i="1"/>
  <c r="AH151" i="1" s="1"/>
  <c r="AG151" i="1"/>
  <c r="AI151" i="1" s="1"/>
  <c r="AF77" i="1"/>
  <c r="AH77" i="1" s="1"/>
  <c r="AG77" i="1"/>
  <c r="AI77" i="1" s="1"/>
  <c r="AF36" i="1"/>
  <c r="AH36" i="1" s="1"/>
  <c r="AG36" i="1"/>
  <c r="AI36" i="1" s="1"/>
  <c r="AF83" i="1"/>
  <c r="AH83" i="1" s="1"/>
  <c r="AG83" i="1"/>
  <c r="AI83" i="1" s="1"/>
  <c r="AG105" i="1"/>
  <c r="AI105" i="1" s="1"/>
  <c r="AF105" i="1"/>
  <c r="AH105" i="1" s="1"/>
  <c r="AF129" i="1"/>
  <c r="AH129" i="1" s="1"/>
  <c r="AG129" i="1"/>
  <c r="AI129" i="1" s="1"/>
  <c r="AG35" i="1"/>
  <c r="AI35" i="1" s="1"/>
  <c r="AF35" i="1"/>
  <c r="AH35" i="1" s="1"/>
  <c r="AF15" i="1"/>
  <c r="AH15" i="1" s="1"/>
  <c r="AG15" i="1"/>
  <c r="AI15" i="1" s="1"/>
  <c r="AG108" i="1"/>
  <c r="AI108" i="1" s="1"/>
  <c r="AF108" i="1"/>
  <c r="AH108" i="1" s="1"/>
  <c r="AG109" i="1"/>
  <c r="AI109" i="1" s="1"/>
  <c r="AF109" i="1"/>
  <c r="AH109" i="1" s="1"/>
  <c r="AF145" i="1"/>
  <c r="AH145" i="1" s="1"/>
  <c r="AG145" i="1"/>
  <c r="AI145" i="1" s="1"/>
  <c r="AF131" i="1"/>
  <c r="AH131" i="1" s="1"/>
  <c r="AG131" i="1"/>
  <c r="AI131" i="1" s="1"/>
  <c r="AG80" i="1"/>
  <c r="AI80" i="1" s="1"/>
  <c r="AF80" i="1"/>
  <c r="AH80" i="1" s="1"/>
  <c r="AG57" i="1"/>
  <c r="AI57" i="1" s="1"/>
  <c r="AF57" i="1"/>
  <c r="AH57" i="1" s="1"/>
  <c r="AF85" i="1"/>
  <c r="AH85" i="1" s="1"/>
  <c r="AG85" i="1"/>
  <c r="AI85" i="1" s="1"/>
  <c r="AG23" i="1"/>
  <c r="AI23" i="1" s="1"/>
  <c r="AF23" i="1"/>
  <c r="AH23" i="1" s="1"/>
  <c r="AG126" i="1"/>
  <c r="AI126" i="1" s="1"/>
  <c r="AF126" i="1"/>
  <c r="AH126" i="1" s="1"/>
  <c r="AF51" i="1"/>
  <c r="AH51" i="1" s="1"/>
  <c r="AG51" i="1"/>
  <c r="AI51" i="1" s="1"/>
  <c r="AG81" i="1"/>
  <c r="AI81" i="1" s="1"/>
  <c r="AF81" i="1"/>
  <c r="AH81" i="1" s="1"/>
  <c r="AG40" i="1"/>
  <c r="AI40" i="1" s="1"/>
  <c r="AF40" i="1"/>
  <c r="AH40" i="1" s="1"/>
  <c r="AF17" i="1"/>
  <c r="AH17" i="1" s="1"/>
  <c r="AG17" i="1"/>
  <c r="AI17" i="1" s="1"/>
  <c r="AF19" i="1"/>
  <c r="AH19" i="1" s="1"/>
  <c r="AG19" i="1"/>
  <c r="AI19" i="1" s="1"/>
  <c r="AG123" i="1"/>
  <c r="AI123" i="1" s="1"/>
  <c r="AF123" i="1"/>
  <c r="AH123" i="1" s="1"/>
  <c r="AF127" i="1"/>
  <c r="AH127" i="1" s="1"/>
  <c r="AG127" i="1"/>
  <c r="AI127" i="1" s="1"/>
  <c r="AG115" i="1"/>
  <c r="AI115" i="1" s="1"/>
  <c r="AF115" i="1"/>
  <c r="AH115" i="1" s="1"/>
  <c r="AF42" i="1"/>
  <c r="AH42" i="1" s="1"/>
  <c r="AG42" i="1"/>
  <c r="AI42" i="1" s="1"/>
  <c r="AG124" i="1"/>
  <c r="AI124" i="1" s="1"/>
  <c r="AF124" i="1"/>
  <c r="AH124" i="1" s="1"/>
  <c r="AG102" i="1"/>
  <c r="AI102" i="1" s="1"/>
  <c r="AF102" i="1"/>
  <c r="AH102" i="1" s="1"/>
  <c r="AG114" i="1"/>
  <c r="AI114" i="1" s="1"/>
  <c r="AF114" i="1"/>
  <c r="AH114" i="1" s="1"/>
  <c r="AF56" i="1"/>
  <c r="AH56" i="1" s="1"/>
  <c r="AG56" i="1"/>
  <c r="AI56" i="1" s="1"/>
  <c r="AF64" i="1"/>
  <c r="AH64" i="1" s="1"/>
  <c r="AG64" i="1"/>
  <c r="AI64" i="1" s="1"/>
  <c r="AG96" i="1"/>
  <c r="AI96" i="1" s="1"/>
  <c r="AF96" i="1"/>
  <c r="AH96" i="1" s="1"/>
  <c r="AG101" i="1"/>
  <c r="AI101" i="1" s="1"/>
  <c r="AF101" i="1"/>
  <c r="AH101" i="1" s="1"/>
  <c r="AF14" i="1"/>
  <c r="AH14" i="1" s="1"/>
  <c r="AG14" i="1"/>
  <c r="AI14" i="1" s="1"/>
  <c r="AF39" i="1"/>
  <c r="AH39" i="1" s="1"/>
  <c r="AG39" i="1"/>
  <c r="AI39" i="1" s="1"/>
  <c r="AG6" i="1"/>
  <c r="AI6" i="1" s="1"/>
  <c r="AF6" i="1"/>
  <c r="AH6" i="1" s="1"/>
  <c r="AF113" i="1"/>
  <c r="AH113" i="1" s="1"/>
  <c r="AG113" i="1"/>
  <c r="AI113" i="1" s="1"/>
  <c r="AF26" i="1"/>
  <c r="AH26" i="1" s="1"/>
  <c r="AG26" i="1"/>
  <c r="AI26" i="1" s="1"/>
  <c r="AF133" i="1"/>
  <c r="AH133" i="1" s="1"/>
  <c r="AG133" i="1"/>
  <c r="AI133" i="1" s="1"/>
  <c r="AG60" i="1"/>
  <c r="AI60" i="1" s="1"/>
  <c r="AF60" i="1"/>
  <c r="AH60" i="1" s="1"/>
  <c r="AG73" i="1"/>
  <c r="AI73" i="1" s="1"/>
  <c r="AF73" i="1"/>
  <c r="AH73" i="1" s="1"/>
  <c r="AF100" i="1"/>
  <c r="AH100" i="1" s="1"/>
  <c r="AG100" i="1"/>
  <c r="AI100" i="1" s="1"/>
  <c r="AG3" i="1"/>
  <c r="AI3" i="1" s="1"/>
  <c r="AF3" i="1"/>
  <c r="AH3" i="1" s="1"/>
  <c r="AF94" i="1"/>
  <c r="AH94" i="1" s="1"/>
  <c r="AG94" i="1"/>
  <c r="AI94" i="1" s="1"/>
  <c r="AF107" i="1"/>
  <c r="AH107" i="1" s="1"/>
  <c r="AG107" i="1"/>
  <c r="AI107" i="1" s="1"/>
  <c r="AF125" i="1"/>
  <c r="AH125" i="1" s="1"/>
  <c r="AG125" i="1"/>
  <c r="AI125" i="1" s="1"/>
  <c r="AG138" i="1"/>
  <c r="AI138" i="1" s="1"/>
  <c r="AF138" i="1"/>
  <c r="AH138" i="1" s="1"/>
  <c r="AG20" i="1"/>
  <c r="AI20" i="1" s="1"/>
  <c r="AF20" i="1"/>
  <c r="AH20" i="1" s="1"/>
  <c r="AG62" i="1"/>
  <c r="AI62" i="1" s="1"/>
  <c r="AF62" i="1"/>
  <c r="AH62" i="1" s="1"/>
  <c r="AF47" i="1"/>
  <c r="AH47" i="1" s="1"/>
  <c r="AG47" i="1"/>
  <c r="AI47" i="1" s="1"/>
  <c r="AG110" i="1"/>
  <c r="AI110" i="1" s="1"/>
  <c r="AF110" i="1"/>
  <c r="AH110" i="1" s="1"/>
  <c r="AG99" i="1"/>
  <c r="AI99" i="1" s="1"/>
  <c r="AF99" i="1"/>
  <c r="AH99" i="1" s="1"/>
  <c r="AG104" i="1"/>
  <c r="AI104" i="1" s="1"/>
  <c r="AF104" i="1"/>
  <c r="AH104" i="1" s="1"/>
  <c r="AF146" i="1"/>
  <c r="AH146" i="1" s="1"/>
  <c r="AG146" i="1"/>
  <c r="AI146" i="1" s="1"/>
  <c r="AF147" i="1"/>
  <c r="AH147" i="1" s="1"/>
  <c r="AF58" i="1"/>
  <c r="AH58" i="1" s="1"/>
  <c r="AG58" i="1"/>
  <c r="AI58" i="1" s="1"/>
  <c r="AF112" i="1"/>
  <c r="AH112" i="1" s="1"/>
  <c r="AG112" i="1"/>
  <c r="AI112" i="1" s="1"/>
  <c r="AG132" i="1"/>
  <c r="AI132" i="1" s="1"/>
  <c r="AF132" i="1"/>
  <c r="AH132" i="1" s="1"/>
  <c r="AF117" i="1"/>
  <c r="AH117" i="1" s="1"/>
  <c r="AG117" i="1"/>
  <c r="AI117" i="1" s="1"/>
  <c r="AF46" i="1"/>
  <c r="AH46" i="1" s="1"/>
  <c r="AG46" i="1"/>
  <c r="AI46" i="1" s="1"/>
  <c r="AG55" i="1"/>
  <c r="AI55" i="1" s="1"/>
  <c r="AF55" i="1"/>
  <c r="AH55" i="1" s="1"/>
  <c r="AG52" i="1"/>
  <c r="AI52" i="1" s="1"/>
  <c r="AF52" i="1"/>
  <c r="AH52" i="1" s="1"/>
  <c r="AF43" i="1"/>
  <c r="AH43" i="1" s="1"/>
  <c r="AG43" i="1"/>
  <c r="AI43" i="1" s="1"/>
  <c r="AF13" i="1"/>
  <c r="AH13" i="1" s="1"/>
  <c r="AG13" i="1"/>
  <c r="AI13" i="1" s="1"/>
  <c r="AF16" i="1"/>
  <c r="AH16" i="1" s="1"/>
  <c r="AG16" i="1"/>
  <c r="AI16" i="1" s="1"/>
  <c r="AG27" i="1"/>
  <c r="AI27" i="1" s="1"/>
  <c r="AF27" i="1"/>
  <c r="AH27" i="1" s="1"/>
  <c r="AG9" i="1"/>
  <c r="AI9" i="1" s="1"/>
  <c r="AF9" i="1"/>
  <c r="AH9" i="1" s="1"/>
  <c r="AG92" i="1"/>
  <c r="AI92" i="1" s="1"/>
  <c r="AF92" i="1"/>
  <c r="AH92" i="1" s="1"/>
  <c r="AG48" i="1"/>
  <c r="AI48" i="1" s="1"/>
  <c r="AF48" i="1"/>
  <c r="AH48" i="1" s="1"/>
  <c r="AG7" i="1"/>
  <c r="AI7" i="1" s="1"/>
  <c r="AF7" i="1"/>
  <c r="AH7" i="1" s="1"/>
  <c r="AF54" i="1"/>
  <c r="AH54" i="1" s="1"/>
  <c r="AG54" i="1"/>
  <c r="AI54" i="1" s="1"/>
  <c r="AG30" i="1"/>
  <c r="AI30" i="1" s="1"/>
  <c r="AF30" i="1"/>
  <c r="AH30" i="1" s="1"/>
  <c r="AF122" i="1"/>
  <c r="AH122" i="1" s="1"/>
  <c r="AG122" i="1"/>
  <c r="AI122" i="1" s="1"/>
  <c r="AF24" i="1"/>
  <c r="AH24" i="1" s="1"/>
  <c r="AG24" i="1"/>
  <c r="AI24" i="1" s="1"/>
  <c r="AF50" i="1"/>
  <c r="AH50" i="1" s="1"/>
  <c r="AG50" i="1"/>
  <c r="AI50" i="1" s="1"/>
  <c r="AG89" i="1"/>
  <c r="AI89" i="1" s="1"/>
  <c r="AF89" i="1"/>
  <c r="AH89" i="1" s="1"/>
  <c r="AF63" i="1"/>
  <c r="AH63" i="1" s="1"/>
  <c r="AG63" i="1"/>
  <c r="AI63" i="1" s="1"/>
  <c r="AG142" i="1"/>
  <c r="AI142" i="1" s="1"/>
  <c r="AF142" i="1"/>
  <c r="AH142" i="1" s="1"/>
  <c r="AF5" i="1"/>
  <c r="AH5" i="1" s="1"/>
  <c r="AG5" i="1"/>
  <c r="AI5" i="1" s="1"/>
  <c r="AG118" i="1"/>
  <c r="AI118" i="1" s="1"/>
  <c r="AF118" i="1"/>
  <c r="AH118" i="1" s="1"/>
  <c r="AF90" i="1"/>
  <c r="AH90" i="1" s="1"/>
  <c r="AG90" i="1"/>
  <c r="AI90" i="1" s="1"/>
  <c r="AF4" i="1"/>
  <c r="AH4" i="1" s="1"/>
  <c r="AG4" i="1"/>
  <c r="AI4" i="1" s="1"/>
  <c r="AG135" i="1"/>
  <c r="AI135" i="1" s="1"/>
  <c r="AF135" i="1"/>
  <c r="AH135" i="1" s="1"/>
  <c r="AF78" i="1"/>
  <c r="AH78" i="1" s="1"/>
  <c r="AG78" i="1"/>
  <c r="AI78" i="1" s="1"/>
  <c r="AG87" i="1"/>
  <c r="AI87" i="1" s="1"/>
  <c r="AF87" i="1"/>
  <c r="AH87" i="1" s="1"/>
  <c r="AG68" i="1"/>
  <c r="AI68" i="1" s="1"/>
  <c r="AF68" i="1"/>
  <c r="AH68" i="1" s="1"/>
  <c r="AG29" i="1"/>
  <c r="AI29" i="1" s="1"/>
  <c r="AF29" i="1"/>
  <c r="AH29" i="1" s="1"/>
  <c r="AF98" i="1"/>
  <c r="AH98" i="1" s="1"/>
  <c r="AG98" i="1"/>
  <c r="AI98" i="1" s="1"/>
  <c r="AF59" i="1"/>
  <c r="AH59" i="1" s="1"/>
  <c r="AG59" i="1"/>
  <c r="AI59" i="1" s="1"/>
  <c r="AG119" i="1"/>
  <c r="AI119" i="1" s="1"/>
  <c r="AF119" i="1"/>
  <c r="AH119" i="1" s="1"/>
  <c r="AG12" i="1"/>
  <c r="AI12" i="1" s="1"/>
  <c r="AF12" i="1"/>
  <c r="AH12" i="1" s="1"/>
  <c r="AG37" i="1"/>
  <c r="AI37" i="1" s="1"/>
  <c r="AF37" i="1"/>
  <c r="AH37" i="1" s="1"/>
  <c r="AG11" i="1"/>
  <c r="AI11" i="1" s="1"/>
  <c r="AF11" i="1"/>
  <c r="AH11" i="1" s="1"/>
  <c r="AG25" i="1"/>
  <c r="AI25" i="1" s="1"/>
  <c r="AF25" i="1"/>
  <c r="AH25" i="1" s="1"/>
  <c r="AF69" i="1"/>
  <c r="AH69" i="1" s="1"/>
  <c r="AG69" i="1"/>
  <c r="AI69" i="1" s="1"/>
  <c r="AG8" i="1"/>
  <c r="AI8" i="1" s="1"/>
  <c r="AF8" i="1"/>
  <c r="AH8" i="1" s="1"/>
  <c r="AF65" i="1"/>
  <c r="AH65" i="1" s="1"/>
  <c r="AG65" i="1"/>
  <c r="AI65" i="1" s="1"/>
  <c r="AG106" i="1"/>
  <c r="AI106" i="1" s="1"/>
  <c r="AF106" i="1"/>
  <c r="AH106" i="1" s="1"/>
  <c r="AF91" i="1"/>
  <c r="AH91" i="1" s="1"/>
  <c r="AG91" i="1"/>
  <c r="AI91" i="1" s="1"/>
  <c r="AF34" i="1"/>
  <c r="AH34" i="1" s="1"/>
  <c r="AG34" i="1"/>
  <c r="AI34" i="1" s="1"/>
  <c r="AG72" i="1"/>
  <c r="AI72" i="1" s="1"/>
  <c r="AF72" i="1"/>
  <c r="AH72" i="1" s="1"/>
  <c r="AF79" i="1"/>
  <c r="AH79" i="1" s="1"/>
  <c r="AG79" i="1"/>
  <c r="AI79" i="1" s="1"/>
  <c r="AG44" i="1"/>
  <c r="AI44" i="1" s="1"/>
  <c r="AF44" i="1"/>
  <c r="AH44" i="1" s="1"/>
  <c r="AF28" i="1"/>
  <c r="AH28" i="1" s="1"/>
  <c r="AG28" i="1"/>
  <c r="AI28" i="1" s="1"/>
  <c r="AF74" i="1"/>
  <c r="AH74" i="1" s="1"/>
  <c r="AG74" i="1"/>
  <c r="AI74" i="1" s="1"/>
  <c r="AF134" i="1"/>
  <c r="AH134" i="1" s="1"/>
  <c r="AG134" i="1"/>
  <c r="AI134" i="1" s="1"/>
  <c r="AG49" i="1"/>
  <c r="AI49" i="1" s="1"/>
  <c r="AF49" i="1"/>
  <c r="AH49" i="1" s="1"/>
  <c r="AF150" i="1"/>
  <c r="AH150" i="1" s="1"/>
  <c r="AG150" i="1"/>
  <c r="AI150" i="1" s="1"/>
  <c r="AF21" i="1"/>
  <c r="AH21" i="1" s="1"/>
  <c r="AG21" i="1"/>
  <c r="AI21" i="1" s="1"/>
  <c r="AG2" i="1"/>
  <c r="AI2" i="1" s="1"/>
  <c r="AF2" i="1"/>
  <c r="AH2" i="1" s="1"/>
  <c r="AG149" i="1"/>
  <c r="AI149" i="1" s="1"/>
  <c r="AF149" i="1"/>
  <c r="AH149" i="1" s="1"/>
  <c r="AG103" i="1"/>
  <c r="AI103" i="1" s="1"/>
  <c r="AF103" i="1"/>
  <c r="AH103" i="1" s="1"/>
  <c r="AF84" i="1"/>
  <c r="AH84" i="1" s="1"/>
  <c r="AG84" i="1"/>
  <c r="AI84" i="1" s="1"/>
  <c r="AF75" i="1"/>
  <c r="AH75" i="1" s="1"/>
  <c r="AG75" i="1"/>
  <c r="AI75" i="1" s="1"/>
  <c r="AF144" i="1" l="1"/>
  <c r="AH144" i="1" s="1"/>
  <c r="AK144" i="1" s="1"/>
  <c r="AG143" i="1"/>
  <c r="AI143" i="1" s="1"/>
  <c r="AK143" i="1" s="1"/>
  <c r="AF128" i="1"/>
  <c r="AH128" i="1" s="1"/>
  <c r="AF137" i="1"/>
  <c r="AH137" i="1" s="1"/>
  <c r="AJ80" i="1"/>
  <c r="AJ108" i="1"/>
  <c r="AK129" i="1"/>
  <c r="AK77" i="1"/>
  <c r="AK71" i="1"/>
  <c r="AK148" i="1"/>
  <c r="AK140" i="1"/>
  <c r="AJ61" i="1"/>
  <c r="AK41" i="1"/>
  <c r="AK93" i="1"/>
  <c r="AJ18" i="1"/>
  <c r="AJ146" i="1"/>
  <c r="AK52" i="1"/>
  <c r="AJ100" i="1"/>
  <c r="AJ122" i="1"/>
  <c r="AJ26" i="1"/>
  <c r="AJ16" i="1"/>
  <c r="AJ47" i="1"/>
  <c r="AK48" i="1"/>
  <c r="AJ125" i="1"/>
  <c r="AK132" i="1"/>
  <c r="AK97" i="1"/>
  <c r="AK32" i="1"/>
  <c r="AJ66" i="1"/>
  <c r="AK103" i="1"/>
  <c r="AJ150" i="1"/>
  <c r="AJ28" i="1"/>
  <c r="AJ34" i="1"/>
  <c r="AK8" i="1"/>
  <c r="AK37" i="1"/>
  <c r="AJ98" i="1"/>
  <c r="AJ78" i="1"/>
  <c r="AK118" i="1"/>
  <c r="AK89" i="1"/>
  <c r="AK30" i="1"/>
  <c r="AK92" i="1"/>
  <c r="AJ13" i="1"/>
  <c r="AK55" i="1"/>
  <c r="AJ112" i="1"/>
  <c r="AK104" i="1"/>
  <c r="AK62" i="1"/>
  <c r="AJ107" i="1"/>
  <c r="AK73" i="1"/>
  <c r="AJ113" i="1"/>
  <c r="AJ14" i="1"/>
  <c r="AJ56" i="1"/>
  <c r="AJ42" i="1"/>
  <c r="AJ19" i="1"/>
  <c r="AJ51" i="1"/>
  <c r="AK57" i="1"/>
  <c r="AK109" i="1"/>
  <c r="AK35" i="1"/>
  <c r="AJ36" i="1"/>
  <c r="AK88" i="1"/>
  <c r="AK121" i="1"/>
  <c r="AK130" i="1"/>
  <c r="AJ33" i="1"/>
  <c r="AJ111" i="1"/>
  <c r="AK38" i="1"/>
  <c r="AK120" i="1"/>
  <c r="AJ10" i="1"/>
  <c r="AJ136" i="1"/>
  <c r="AJ31" i="1"/>
  <c r="AJ67" i="1"/>
  <c r="AK96" i="1"/>
  <c r="AK102" i="1"/>
  <c r="AJ127" i="1"/>
  <c r="AK40" i="1"/>
  <c r="AK105" i="1"/>
  <c r="AJ151" i="1"/>
  <c r="AJ22" i="1"/>
  <c r="AK116" i="1"/>
  <c r="AK53" i="1"/>
  <c r="AK45" i="1"/>
  <c r="AK18" i="1"/>
  <c r="AK149" i="1"/>
  <c r="AK12" i="1"/>
  <c r="AJ54" i="1"/>
  <c r="AJ75" i="1"/>
  <c r="AJ74" i="1"/>
  <c r="AJ65" i="1"/>
  <c r="AJ59" i="1"/>
  <c r="AJ90" i="1"/>
  <c r="AJ39" i="1"/>
  <c r="AJ64" i="1"/>
  <c r="AK124" i="1"/>
  <c r="AK123" i="1"/>
  <c r="AK81" i="1"/>
  <c r="AJ85" i="1"/>
  <c r="AJ145" i="1"/>
  <c r="AJ15" i="1"/>
  <c r="AJ83" i="1"/>
  <c r="AJ95" i="1"/>
  <c r="AK70" i="1"/>
  <c r="AJ82" i="1"/>
  <c r="AJ139" i="1"/>
  <c r="AK76" i="1"/>
  <c r="AK44" i="1"/>
  <c r="AK135" i="1"/>
  <c r="AK9" i="1"/>
  <c r="AJ84" i="1"/>
  <c r="AJ21" i="1"/>
  <c r="AK72" i="1"/>
  <c r="AK11" i="1"/>
  <c r="AK87" i="1"/>
  <c r="AJ63" i="1"/>
  <c r="AJ69" i="1"/>
  <c r="AJ50" i="1"/>
  <c r="AJ46" i="1"/>
  <c r="AJ58" i="1"/>
  <c r="AK99" i="1"/>
  <c r="AK20" i="1"/>
  <c r="AJ94" i="1"/>
  <c r="AK60" i="1"/>
  <c r="AK101" i="1"/>
  <c r="AK114" i="1"/>
  <c r="AK115" i="1"/>
  <c r="AJ17" i="1"/>
  <c r="AK126" i="1"/>
  <c r="AJ86" i="1"/>
  <c r="AK49" i="1"/>
  <c r="AK29" i="1"/>
  <c r="AJ43" i="1"/>
  <c r="AK2" i="1"/>
  <c r="AJ134" i="1"/>
  <c r="AJ79" i="1"/>
  <c r="AK106" i="1"/>
  <c r="AK25" i="1"/>
  <c r="AK119" i="1"/>
  <c r="AK68" i="1"/>
  <c r="AJ4" i="1"/>
  <c r="AK142" i="1"/>
  <c r="AJ24" i="1"/>
  <c r="AK7" i="1"/>
  <c r="AK27" i="1"/>
  <c r="AJ117" i="1"/>
  <c r="AJ147" i="1"/>
  <c r="AK110" i="1"/>
  <c r="AK138" i="1"/>
  <c r="AK3" i="1"/>
  <c r="AJ133" i="1"/>
  <c r="AK6" i="1"/>
  <c r="AK23" i="1"/>
  <c r="AJ131" i="1"/>
  <c r="AJ91" i="1"/>
  <c r="AJ5" i="1"/>
  <c r="AJ103" i="1"/>
  <c r="AK150" i="1"/>
  <c r="AK28" i="1"/>
  <c r="AK34" i="1"/>
  <c r="AJ8" i="1"/>
  <c r="AJ37" i="1"/>
  <c r="AK98" i="1"/>
  <c r="AK78" i="1"/>
  <c r="AJ118" i="1"/>
  <c r="AJ89" i="1"/>
  <c r="AJ30" i="1"/>
  <c r="AJ92" i="1"/>
  <c r="AK13" i="1"/>
  <c r="AJ55" i="1"/>
  <c r="AK112" i="1"/>
  <c r="AJ104" i="1"/>
  <c r="AJ62" i="1"/>
  <c r="AK107" i="1"/>
  <c r="AJ73" i="1"/>
  <c r="AK113" i="1"/>
  <c r="AK14" i="1"/>
  <c r="AK56" i="1"/>
  <c r="AK42" i="1"/>
  <c r="AK19" i="1"/>
  <c r="AK51" i="1"/>
  <c r="AJ57" i="1"/>
  <c r="AJ109" i="1"/>
  <c r="AJ35" i="1"/>
  <c r="AK36" i="1"/>
  <c r="AJ88" i="1"/>
  <c r="AJ121" i="1"/>
  <c r="AJ130" i="1"/>
  <c r="AK33" i="1"/>
  <c r="AK111" i="1"/>
  <c r="AJ97" i="1"/>
  <c r="AJ32" i="1"/>
  <c r="AK66" i="1"/>
  <c r="AJ149" i="1"/>
  <c r="AJ49" i="1"/>
  <c r="AJ44" i="1"/>
  <c r="AK91" i="1"/>
  <c r="AK69" i="1"/>
  <c r="AJ12" i="1"/>
  <c r="AJ29" i="1"/>
  <c r="AJ135" i="1"/>
  <c r="AK5" i="1"/>
  <c r="AK50" i="1"/>
  <c r="AK54" i="1"/>
  <c r="AJ9" i="1"/>
  <c r="AK43" i="1"/>
  <c r="AK46" i="1"/>
  <c r="AK58" i="1"/>
  <c r="AJ99" i="1"/>
  <c r="AJ20" i="1"/>
  <c r="AK94" i="1"/>
  <c r="AJ60" i="1"/>
  <c r="AJ101" i="1"/>
  <c r="AJ114" i="1"/>
  <c r="AJ115" i="1"/>
  <c r="AK17" i="1"/>
  <c r="AJ126" i="1"/>
  <c r="AK86" i="1"/>
  <c r="AJ38" i="1"/>
  <c r="AJ120" i="1"/>
  <c r="AK10" i="1"/>
  <c r="AK80" i="1"/>
  <c r="AK108" i="1"/>
  <c r="AJ129" i="1"/>
  <c r="AJ77" i="1"/>
  <c r="AJ71" i="1"/>
  <c r="AJ148" i="1"/>
  <c r="AJ140" i="1"/>
  <c r="AK75" i="1"/>
  <c r="AJ2" i="1"/>
  <c r="AK134" i="1"/>
  <c r="AK79" i="1"/>
  <c r="AJ106" i="1"/>
  <c r="AJ25" i="1"/>
  <c r="AJ119" i="1"/>
  <c r="AJ68" i="1"/>
  <c r="AK4" i="1"/>
  <c r="AJ142" i="1"/>
  <c r="AK24" i="1"/>
  <c r="AJ7" i="1"/>
  <c r="AJ27" i="1"/>
  <c r="AJ144" i="1"/>
  <c r="AK117" i="1"/>
  <c r="AK147" i="1"/>
  <c r="AJ110" i="1"/>
  <c r="AJ138" i="1"/>
  <c r="AJ3" i="1"/>
  <c r="AK133" i="1"/>
  <c r="AJ6" i="1"/>
  <c r="AJ96" i="1"/>
  <c r="AJ102" i="1"/>
  <c r="AK127" i="1"/>
  <c r="AJ40" i="1"/>
  <c r="AJ23" i="1"/>
  <c r="AK131" i="1"/>
  <c r="AJ105" i="1"/>
  <c r="AK151" i="1"/>
  <c r="AK22" i="1"/>
  <c r="AJ116" i="1"/>
  <c r="AJ53" i="1"/>
  <c r="AJ45" i="1"/>
  <c r="AF141" i="1"/>
  <c r="AH141" i="1" s="1"/>
  <c r="AG141" i="1"/>
  <c r="AI141" i="1" s="1"/>
  <c r="AK136" i="1"/>
  <c r="AK31" i="1"/>
  <c r="AK67" i="1"/>
  <c r="AK61" i="1"/>
  <c r="AJ41" i="1"/>
  <c r="AJ93" i="1"/>
  <c r="AK84" i="1"/>
  <c r="AK21" i="1"/>
  <c r="AK74" i="1"/>
  <c r="AJ72" i="1"/>
  <c r="AK65" i="1"/>
  <c r="AJ11" i="1"/>
  <c r="AK59" i="1"/>
  <c r="AJ87" i="1"/>
  <c r="AK90" i="1"/>
  <c r="AK63" i="1"/>
  <c r="AK122" i="1"/>
  <c r="AJ48" i="1"/>
  <c r="AK16" i="1"/>
  <c r="AJ52" i="1"/>
  <c r="AJ132" i="1"/>
  <c r="AK146" i="1"/>
  <c r="AK47" i="1"/>
  <c r="AK125" i="1"/>
  <c r="AK100" i="1"/>
  <c r="AK26" i="1"/>
  <c r="AK39" i="1"/>
  <c r="AK64" i="1"/>
  <c r="AJ124" i="1"/>
  <c r="AJ123" i="1"/>
  <c r="AJ81" i="1"/>
  <c r="AK85" i="1"/>
  <c r="AK145" i="1"/>
  <c r="AK15" i="1"/>
  <c r="AK83" i="1"/>
  <c r="AK95" i="1"/>
  <c r="AJ70" i="1"/>
  <c r="AK82" i="1"/>
  <c r="AK139" i="1"/>
  <c r="AJ76" i="1"/>
  <c r="AJ143" i="1" l="1"/>
  <c r="AN143" i="1" s="1"/>
  <c r="AN115" i="1"/>
  <c r="AT115" i="1" s="1"/>
  <c r="AV115" i="1"/>
  <c r="AN66" i="1"/>
  <c r="AS66" i="1" s="1"/>
  <c r="AV66" i="1"/>
  <c r="AN114" i="1"/>
  <c r="AS114" i="1" s="1"/>
  <c r="AV114" i="1"/>
  <c r="AN17" i="1"/>
  <c r="AQ17" i="1" s="1"/>
  <c r="AV17" i="1"/>
  <c r="AN75" i="1"/>
  <c r="AP75" i="1" s="1"/>
  <c r="AV75" i="1"/>
  <c r="AN122" i="1"/>
  <c r="AP122" i="1" s="1"/>
  <c r="AV122" i="1"/>
  <c r="AN142" i="1"/>
  <c r="AQ142" i="1" s="1"/>
  <c r="AV142" i="1"/>
  <c r="AN12" i="1"/>
  <c r="AS12" i="1" s="1"/>
  <c r="AV12" i="1"/>
  <c r="AN133" i="1"/>
  <c r="AS133" i="1" s="1"/>
  <c r="AV133" i="1"/>
  <c r="AN79" i="1"/>
  <c r="AT79" i="1" s="1"/>
  <c r="AV79" i="1"/>
  <c r="AN22" i="1"/>
  <c r="AP22" i="1" s="1"/>
  <c r="AV22" i="1"/>
  <c r="AN31" i="1"/>
  <c r="AT31" i="1" s="1"/>
  <c r="AV31" i="1"/>
  <c r="AN42" i="1"/>
  <c r="AT42" i="1" s="1"/>
  <c r="AV42" i="1"/>
  <c r="AN112" i="1"/>
  <c r="AT112" i="1" s="1"/>
  <c r="AV112" i="1"/>
  <c r="AN98" i="1"/>
  <c r="AT98" i="1" s="1"/>
  <c r="AV98" i="1"/>
  <c r="AN123" i="1"/>
  <c r="AP123" i="1" s="1"/>
  <c r="AV123" i="1"/>
  <c r="AN87" i="1"/>
  <c r="AS87" i="1" s="1"/>
  <c r="AV87" i="1"/>
  <c r="AN93" i="1"/>
  <c r="AV93" i="1"/>
  <c r="AN45" i="1"/>
  <c r="AS45" i="1" s="1"/>
  <c r="AV45" i="1"/>
  <c r="AN40" i="1"/>
  <c r="AP40" i="1" s="1"/>
  <c r="AV40" i="1"/>
  <c r="AN110" i="1"/>
  <c r="AQ110" i="1" s="1"/>
  <c r="AV110" i="1"/>
  <c r="AN101" i="1"/>
  <c r="AV101" i="1"/>
  <c r="AN57" i="1"/>
  <c r="AQ57" i="1" s="1"/>
  <c r="AV57" i="1"/>
  <c r="AN89" i="1"/>
  <c r="AQ89" i="1" s="1"/>
  <c r="AV89" i="1"/>
  <c r="AN24" i="1"/>
  <c r="AS24" i="1" s="1"/>
  <c r="AV24" i="1"/>
  <c r="AN134" i="1"/>
  <c r="AQ134" i="1" s="1"/>
  <c r="AV134" i="1"/>
  <c r="AN58" i="1"/>
  <c r="AS58" i="1" s="1"/>
  <c r="AV58" i="1"/>
  <c r="AN21" i="1"/>
  <c r="AP21" i="1" s="1"/>
  <c r="AV21" i="1"/>
  <c r="AN54" i="1"/>
  <c r="AS54" i="1" s="1"/>
  <c r="AV54" i="1"/>
  <c r="AN151" i="1"/>
  <c r="AS151" i="1" s="1"/>
  <c r="AV151" i="1"/>
  <c r="AN136" i="1"/>
  <c r="AT136" i="1" s="1"/>
  <c r="AV136" i="1"/>
  <c r="AN56" i="1"/>
  <c r="AT56" i="1" s="1"/>
  <c r="AV56" i="1"/>
  <c r="AN100" i="1"/>
  <c r="AP100" i="1" s="1"/>
  <c r="AV100" i="1"/>
  <c r="AN70" i="1"/>
  <c r="AQ70" i="1" s="1"/>
  <c r="AV70" i="1"/>
  <c r="AN124" i="1"/>
  <c r="AS124" i="1" s="1"/>
  <c r="AV124" i="1"/>
  <c r="AN132" i="1"/>
  <c r="AQ132" i="1" s="1"/>
  <c r="AV132" i="1"/>
  <c r="AN41" i="1"/>
  <c r="AS41" i="1" s="1"/>
  <c r="AV41" i="1"/>
  <c r="AN53" i="1"/>
  <c r="AS53" i="1" s="1"/>
  <c r="AV53" i="1"/>
  <c r="AN68" i="1"/>
  <c r="AP68" i="1" s="1"/>
  <c r="AV68" i="1"/>
  <c r="AN140" i="1"/>
  <c r="AQ140" i="1" s="1"/>
  <c r="AV140" i="1"/>
  <c r="AN120" i="1"/>
  <c r="AS120" i="1" s="1"/>
  <c r="AV120" i="1"/>
  <c r="AN9" i="1"/>
  <c r="AS9" i="1" s="1"/>
  <c r="AV9" i="1"/>
  <c r="AN62" i="1"/>
  <c r="AS62" i="1" s="1"/>
  <c r="AV62" i="1"/>
  <c r="AN118" i="1"/>
  <c r="AS118" i="1" s="1"/>
  <c r="AV118" i="1"/>
  <c r="AN103" i="1"/>
  <c r="AS103" i="1" s="1"/>
  <c r="AV103" i="1"/>
  <c r="AN46" i="1"/>
  <c r="AQ46" i="1" s="1"/>
  <c r="AV46" i="1"/>
  <c r="AN84" i="1"/>
  <c r="AS84" i="1" s="1"/>
  <c r="AV84" i="1"/>
  <c r="AN95" i="1"/>
  <c r="AS95" i="1" s="1"/>
  <c r="AV95" i="1"/>
  <c r="AN64" i="1"/>
  <c r="AT64" i="1" s="1"/>
  <c r="AV64" i="1"/>
  <c r="AN10" i="1"/>
  <c r="AS10" i="1" s="1"/>
  <c r="AV10" i="1"/>
  <c r="AN36" i="1"/>
  <c r="AQ36" i="1" s="1"/>
  <c r="AV36" i="1"/>
  <c r="AN14" i="1"/>
  <c r="AS14" i="1" s="1"/>
  <c r="AV14" i="1"/>
  <c r="AN13" i="1"/>
  <c r="AT13" i="1" s="1"/>
  <c r="AV13" i="1"/>
  <c r="AN76" i="1"/>
  <c r="AT76" i="1" s="1"/>
  <c r="AV76" i="1"/>
  <c r="AN32" i="1"/>
  <c r="AT32" i="1" s="1"/>
  <c r="AV32" i="1"/>
  <c r="AN67" i="1"/>
  <c r="AP67" i="1" s="1"/>
  <c r="AV67" i="1"/>
  <c r="AN61" i="1"/>
  <c r="AQ61" i="1" s="1"/>
  <c r="AV61" i="1"/>
  <c r="AN109" i="1"/>
  <c r="AQ109" i="1" s="1"/>
  <c r="AV109" i="1"/>
  <c r="AN52" i="1"/>
  <c r="AT52" i="1" s="1"/>
  <c r="AV52" i="1"/>
  <c r="AN102" i="1"/>
  <c r="AT102" i="1" s="1"/>
  <c r="AV102" i="1"/>
  <c r="AN38" i="1"/>
  <c r="AT38" i="1" s="1"/>
  <c r="AV38" i="1"/>
  <c r="AN130" i="1"/>
  <c r="AP130" i="1" s="1"/>
  <c r="AV130" i="1"/>
  <c r="AN5" i="1"/>
  <c r="AP5" i="1" s="1"/>
  <c r="AV5" i="1"/>
  <c r="AN83" i="1"/>
  <c r="AS83" i="1" s="1"/>
  <c r="AV83" i="1"/>
  <c r="AN113" i="1"/>
  <c r="AS113" i="1" s="1"/>
  <c r="AV113" i="1"/>
  <c r="AN34" i="1"/>
  <c r="AP34" i="1" s="1"/>
  <c r="AV34" i="1"/>
  <c r="AN125" i="1"/>
  <c r="AP125" i="1" s="1"/>
  <c r="AV125" i="1"/>
  <c r="AN146" i="1"/>
  <c r="AP146" i="1" s="1"/>
  <c r="AV146" i="1"/>
  <c r="AN29" i="1"/>
  <c r="AS29" i="1" s="1"/>
  <c r="AV29" i="1"/>
  <c r="AN19" i="1"/>
  <c r="AP19" i="1" s="1"/>
  <c r="AV19" i="1"/>
  <c r="AN26" i="1"/>
  <c r="AQ26" i="1" s="1"/>
  <c r="AV26" i="1"/>
  <c r="AN23" i="1"/>
  <c r="AQ23" i="1" s="1"/>
  <c r="AV23" i="1"/>
  <c r="AN30" i="1"/>
  <c r="AT30" i="1" s="1"/>
  <c r="AV30" i="1"/>
  <c r="AN11" i="1"/>
  <c r="AS11" i="1" s="1"/>
  <c r="AV11" i="1"/>
  <c r="AN60" i="1"/>
  <c r="AP60" i="1" s="1"/>
  <c r="AV60" i="1"/>
  <c r="AN43" i="1"/>
  <c r="AQ43" i="1" s="1"/>
  <c r="AV43" i="1"/>
  <c r="AN39" i="1"/>
  <c r="AT39" i="1" s="1"/>
  <c r="AV39" i="1"/>
  <c r="AN92" i="1"/>
  <c r="AT92" i="1" s="1"/>
  <c r="AV92" i="1"/>
  <c r="AN74" i="1"/>
  <c r="AS74" i="1" s="1"/>
  <c r="AV74" i="1"/>
  <c r="AN138" i="1"/>
  <c r="AQ138" i="1" s="1"/>
  <c r="AV138" i="1"/>
  <c r="AN97" i="1"/>
  <c r="AQ97" i="1" s="1"/>
  <c r="AV97" i="1"/>
  <c r="AN119" i="1"/>
  <c r="AS119" i="1" s="1"/>
  <c r="AV119" i="1"/>
  <c r="AN44" i="1"/>
  <c r="AT44" i="1" s="1"/>
  <c r="AV44" i="1"/>
  <c r="AN4" i="1"/>
  <c r="AQ4" i="1" s="1"/>
  <c r="AV4" i="1"/>
  <c r="AN3" i="1"/>
  <c r="AS3" i="1" s="1"/>
  <c r="AV3" i="1"/>
  <c r="AN35" i="1"/>
  <c r="AS35" i="1" s="1"/>
  <c r="AV35" i="1"/>
  <c r="AN139" i="1"/>
  <c r="AQ139" i="1" s="1"/>
  <c r="AV139" i="1"/>
  <c r="AN78" i="1"/>
  <c r="AP78" i="1" s="1"/>
  <c r="AV78" i="1"/>
  <c r="AN81" i="1"/>
  <c r="AQ81" i="1" s="1"/>
  <c r="AV81" i="1"/>
  <c r="AV2" i="1"/>
  <c r="AN73" i="1"/>
  <c r="AT73" i="1" s="1"/>
  <c r="AV73" i="1"/>
  <c r="AN82" i="1"/>
  <c r="AQ82" i="1" s="1"/>
  <c r="AV82" i="1"/>
  <c r="AN116" i="1"/>
  <c r="AT116" i="1" s="1"/>
  <c r="AV116" i="1"/>
  <c r="AN148" i="1"/>
  <c r="AP148" i="1" s="1"/>
  <c r="AV148" i="1"/>
  <c r="AN104" i="1"/>
  <c r="AS104" i="1" s="1"/>
  <c r="AV104" i="1"/>
  <c r="AN50" i="1"/>
  <c r="AQ50" i="1" s="1"/>
  <c r="AV50" i="1"/>
  <c r="AN96" i="1"/>
  <c r="AS96" i="1" s="1"/>
  <c r="AV96" i="1"/>
  <c r="AN144" i="1"/>
  <c r="AT144" i="1" s="1"/>
  <c r="AV144" i="1"/>
  <c r="AN25" i="1"/>
  <c r="AP25" i="1" s="1"/>
  <c r="AV25" i="1"/>
  <c r="AN71" i="1"/>
  <c r="AS71" i="1" s="1"/>
  <c r="AV71" i="1"/>
  <c r="AN49" i="1"/>
  <c r="AT49" i="1" s="1"/>
  <c r="AV49" i="1"/>
  <c r="AN121" i="1"/>
  <c r="AS121" i="1" s="1"/>
  <c r="AV121" i="1"/>
  <c r="AN91" i="1"/>
  <c r="AS91" i="1" s="1"/>
  <c r="AV91" i="1"/>
  <c r="AN147" i="1"/>
  <c r="AS147" i="1" s="1"/>
  <c r="AV147" i="1"/>
  <c r="AN69" i="1"/>
  <c r="AS69" i="1" s="1"/>
  <c r="AV69" i="1"/>
  <c r="AN15" i="1"/>
  <c r="AP15" i="1" s="1"/>
  <c r="AV15" i="1"/>
  <c r="AN90" i="1"/>
  <c r="AS90" i="1" s="1"/>
  <c r="AV90" i="1"/>
  <c r="AN127" i="1"/>
  <c r="AP127" i="1" s="1"/>
  <c r="AV127" i="1"/>
  <c r="AN28" i="1"/>
  <c r="AS28" i="1" s="1"/>
  <c r="AV28" i="1"/>
  <c r="AN18" i="1"/>
  <c r="AT18" i="1" s="1"/>
  <c r="AV18" i="1"/>
  <c r="AN48" i="1"/>
  <c r="AS48" i="1" s="1"/>
  <c r="AV48" i="1"/>
  <c r="AN72" i="1"/>
  <c r="AP72" i="1" s="1"/>
  <c r="AV72" i="1"/>
  <c r="AN6" i="1"/>
  <c r="AQ6" i="1" s="1"/>
  <c r="AV6" i="1"/>
  <c r="AN27" i="1"/>
  <c r="AS27" i="1" s="1"/>
  <c r="AV27" i="1"/>
  <c r="AN106" i="1"/>
  <c r="AT106" i="1" s="1"/>
  <c r="AV106" i="1"/>
  <c r="AN77" i="1"/>
  <c r="AQ77" i="1" s="1"/>
  <c r="AV77" i="1"/>
  <c r="AN126" i="1"/>
  <c r="AT126" i="1" s="1"/>
  <c r="AV126" i="1"/>
  <c r="AN20" i="1"/>
  <c r="AS20" i="1" s="1"/>
  <c r="AV20" i="1"/>
  <c r="AN149" i="1"/>
  <c r="AS149" i="1" s="1"/>
  <c r="AV149" i="1"/>
  <c r="AN88" i="1"/>
  <c r="AQ88" i="1" s="1"/>
  <c r="AV88" i="1"/>
  <c r="AN55" i="1"/>
  <c r="AS55" i="1" s="1"/>
  <c r="AV55" i="1"/>
  <c r="AN37" i="1"/>
  <c r="AT37" i="1" s="1"/>
  <c r="AV37" i="1"/>
  <c r="AN131" i="1"/>
  <c r="AT131" i="1" s="1"/>
  <c r="AV131" i="1"/>
  <c r="AN117" i="1"/>
  <c r="AS117" i="1" s="1"/>
  <c r="AV117" i="1"/>
  <c r="AN63" i="1"/>
  <c r="AS63" i="1" s="1"/>
  <c r="AV63" i="1"/>
  <c r="AN145" i="1"/>
  <c r="AQ145" i="1" s="1"/>
  <c r="AV145" i="1"/>
  <c r="AN59" i="1"/>
  <c r="AS59" i="1" s="1"/>
  <c r="AV59" i="1"/>
  <c r="AN111" i="1"/>
  <c r="AP111" i="1" s="1"/>
  <c r="AV111" i="1"/>
  <c r="AN107" i="1"/>
  <c r="AS107" i="1" s="1"/>
  <c r="AV107" i="1"/>
  <c r="AN150" i="1"/>
  <c r="AP150" i="1" s="1"/>
  <c r="AV150" i="1"/>
  <c r="AN47" i="1"/>
  <c r="AS47" i="1" s="1"/>
  <c r="AV47" i="1"/>
  <c r="AN108" i="1"/>
  <c r="AS108" i="1" s="1"/>
  <c r="AV108" i="1"/>
  <c r="AN105" i="1"/>
  <c r="AQ105" i="1" s="1"/>
  <c r="AV105" i="1"/>
  <c r="AN7" i="1"/>
  <c r="AT7" i="1" s="1"/>
  <c r="AV7" i="1"/>
  <c r="AN129" i="1"/>
  <c r="AP129" i="1" s="1"/>
  <c r="AV129" i="1"/>
  <c r="AN99" i="1"/>
  <c r="AT99" i="1" s="1"/>
  <c r="AV99" i="1"/>
  <c r="AN135" i="1"/>
  <c r="AS135" i="1" s="1"/>
  <c r="AV135" i="1"/>
  <c r="AN8" i="1"/>
  <c r="AQ8" i="1" s="1"/>
  <c r="AV8" i="1"/>
  <c r="AN86" i="1"/>
  <c r="AS86" i="1" s="1"/>
  <c r="AV86" i="1"/>
  <c r="AN94" i="1"/>
  <c r="AP94" i="1" s="1"/>
  <c r="AV94" i="1"/>
  <c r="AN85" i="1"/>
  <c r="AS85" i="1" s="1"/>
  <c r="AV85" i="1"/>
  <c r="AN65" i="1"/>
  <c r="AP65" i="1" s="1"/>
  <c r="AV65" i="1"/>
  <c r="AN33" i="1"/>
  <c r="AS33" i="1" s="1"/>
  <c r="AV33" i="1"/>
  <c r="AN51" i="1"/>
  <c r="AT51" i="1" s="1"/>
  <c r="AV51" i="1"/>
  <c r="AN16" i="1"/>
  <c r="AQ16" i="1" s="1"/>
  <c r="AV16" i="1"/>
  <c r="AN80" i="1"/>
  <c r="AP80" i="1" s="1"/>
  <c r="AV80" i="1"/>
  <c r="AJ128" i="1"/>
  <c r="AK137" i="1"/>
  <c r="AK128" i="1"/>
  <c r="AJ137" i="1"/>
  <c r="AT122" i="1"/>
  <c r="AS122" i="1"/>
  <c r="AS93" i="1"/>
  <c r="AT93" i="1"/>
  <c r="AT151" i="1"/>
  <c r="AT70" i="1"/>
  <c r="AS13" i="1"/>
  <c r="AT101" i="1"/>
  <c r="AS101" i="1"/>
  <c r="AS79" i="1"/>
  <c r="AT66" i="1"/>
  <c r="AQ122" i="1"/>
  <c r="AS112" i="1"/>
  <c r="AQ103" i="1"/>
  <c r="AP112" i="1"/>
  <c r="AQ112" i="1"/>
  <c r="AP101" i="1"/>
  <c r="AQ101" i="1"/>
  <c r="AP79" i="1"/>
  <c r="AQ66" i="1"/>
  <c r="AP66" i="1"/>
  <c r="AP64" i="1"/>
  <c r="AQ64" i="1"/>
  <c r="AQ13" i="1"/>
  <c r="AQ39" i="1"/>
  <c r="AP93" i="1"/>
  <c r="AQ93" i="1"/>
  <c r="AN2" i="1"/>
  <c r="AK141" i="1"/>
  <c r="AJ141" i="1"/>
  <c r="AS30" i="1" l="1"/>
  <c r="AT143" i="1"/>
  <c r="AQ143" i="1"/>
  <c r="AV143" i="1"/>
  <c r="AP3" i="1"/>
  <c r="AS38" i="1"/>
  <c r="AP30" i="1"/>
  <c r="AQ133" i="1"/>
  <c r="AT95" i="1"/>
  <c r="AT4" i="1"/>
  <c r="AQ83" i="1"/>
  <c r="AS42" i="1"/>
  <c r="AT110" i="1"/>
  <c r="AQ115" i="1"/>
  <c r="AP115" i="1"/>
  <c r="AQ102" i="1"/>
  <c r="AS22" i="1"/>
  <c r="AQ49" i="1"/>
  <c r="AS131" i="1"/>
  <c r="AT123" i="1"/>
  <c r="AT36" i="1"/>
  <c r="AQ32" i="1"/>
  <c r="AQ96" i="1"/>
  <c r="AP96" i="1"/>
  <c r="AT75" i="1"/>
  <c r="AS110" i="1"/>
  <c r="AP126" i="1"/>
  <c r="AP14" i="1"/>
  <c r="AQ75" i="1"/>
  <c r="AP41" i="1"/>
  <c r="AP120" i="1"/>
  <c r="AS75" i="1"/>
  <c r="AS115" i="1"/>
  <c r="AT67" i="1"/>
  <c r="AQ126" i="1"/>
  <c r="AQ85" i="1"/>
  <c r="AS4" i="1"/>
  <c r="AP42" i="1"/>
  <c r="AQ24" i="1"/>
  <c r="AQ41" i="1"/>
  <c r="AP116" i="1"/>
  <c r="AT24" i="1"/>
  <c r="AT100" i="1"/>
  <c r="AS67" i="1"/>
  <c r="AQ67" i="1"/>
  <c r="AQ28" i="1"/>
  <c r="AQ42" i="1"/>
  <c r="AQ54" i="1"/>
  <c r="AS78" i="1"/>
  <c r="AS126" i="1"/>
  <c r="AT43" i="1"/>
  <c r="AP107" i="1"/>
  <c r="AQ69" i="1"/>
  <c r="AQ118" i="1"/>
  <c r="AP43" i="1"/>
  <c r="AP54" i="1"/>
  <c r="AQ87" i="1"/>
  <c r="AS102" i="1"/>
  <c r="AT23" i="1"/>
  <c r="AS43" i="1"/>
  <c r="AT54" i="1"/>
  <c r="AT133" i="1"/>
  <c r="AS6" i="1"/>
  <c r="AQ37" i="1"/>
  <c r="AP133" i="1"/>
  <c r="AQ79" i="1"/>
  <c r="AP70" i="1"/>
  <c r="AQ120" i="1"/>
  <c r="AS138" i="1"/>
  <c r="AS73" i="1"/>
  <c r="AS23" i="1"/>
  <c r="AT14" i="1"/>
  <c r="AP23" i="1"/>
  <c r="AP83" i="1"/>
  <c r="AP143" i="1"/>
  <c r="AP95" i="1"/>
  <c r="AP24" i="1"/>
  <c r="AP110" i="1"/>
  <c r="AP134" i="1"/>
  <c r="AP87" i="1"/>
  <c r="AT118" i="1"/>
  <c r="AT120" i="1"/>
  <c r="AS100" i="1"/>
  <c r="AT113" i="1"/>
  <c r="AQ146" i="1"/>
  <c r="AT65" i="1"/>
  <c r="AQ104" i="1"/>
  <c r="AP138" i="1"/>
  <c r="AP104" i="1"/>
  <c r="AP102" i="1"/>
  <c r="AQ95" i="1"/>
  <c r="AT138" i="1"/>
  <c r="AS150" i="1"/>
  <c r="AT69" i="1"/>
  <c r="AS105" i="1"/>
  <c r="AT28" i="1"/>
  <c r="AQ86" i="1"/>
  <c r="AP85" i="1"/>
  <c r="AP28" i="1"/>
  <c r="AP55" i="1"/>
  <c r="AP118" i="1"/>
  <c r="AQ14" i="1"/>
  <c r="AP4" i="1"/>
  <c r="AT78" i="1"/>
  <c r="AS68" i="1"/>
  <c r="AS49" i="1"/>
  <c r="AT41" i="1"/>
  <c r="AT83" i="1"/>
  <c r="AQ100" i="1"/>
  <c r="AQ60" i="1"/>
  <c r="AS123" i="1"/>
  <c r="AQ73" i="1"/>
  <c r="AQ48" i="1"/>
  <c r="AT48" i="1"/>
  <c r="AS32" i="1"/>
  <c r="AS142" i="1"/>
  <c r="AT135" i="1"/>
  <c r="AT140" i="1"/>
  <c r="AQ25" i="1"/>
  <c r="AT17" i="1"/>
  <c r="AP135" i="1"/>
  <c r="AP105" i="1"/>
  <c r="AT6" i="1"/>
  <c r="AT47" i="1"/>
  <c r="AS106" i="1"/>
  <c r="AT132" i="1"/>
  <c r="AP32" i="1"/>
  <c r="AP36" i="1"/>
  <c r="AQ91" i="1"/>
  <c r="AT90" i="1"/>
  <c r="AP59" i="1"/>
  <c r="AQ129" i="1"/>
  <c r="AQ124" i="1"/>
  <c r="AT89" i="1"/>
  <c r="AQ63" i="1"/>
  <c r="AP6" i="1"/>
  <c r="AP84" i="1"/>
  <c r="AP82" i="1"/>
  <c r="AS31" i="1"/>
  <c r="AT148" i="1"/>
  <c r="AT15" i="1"/>
  <c r="AP145" i="1"/>
  <c r="AP99" i="1"/>
  <c r="AP7" i="1"/>
  <c r="AS65" i="1"/>
  <c r="AT82" i="1"/>
  <c r="AQ71" i="1"/>
  <c r="AP77" i="1"/>
  <c r="AS52" i="1"/>
  <c r="AT150" i="1"/>
  <c r="AS8" i="1"/>
  <c r="AP142" i="1"/>
  <c r="AQ150" i="1"/>
  <c r="AQ130" i="1"/>
  <c r="AQ65" i="1"/>
  <c r="AP10" i="1"/>
  <c r="AP46" i="1"/>
  <c r="AS130" i="1"/>
  <c r="AS76" i="1"/>
  <c r="AT109" i="1"/>
  <c r="AS145" i="1"/>
  <c r="AT34" i="1"/>
  <c r="AP76" i="1"/>
  <c r="AT11" i="1"/>
  <c r="AQ119" i="1"/>
  <c r="AP109" i="1"/>
  <c r="AQ10" i="1"/>
  <c r="AP27" i="1"/>
  <c r="AQ58" i="1"/>
  <c r="AP114" i="1"/>
  <c r="AT130" i="1"/>
  <c r="AT114" i="1"/>
  <c r="AS92" i="1"/>
  <c r="AP124" i="1"/>
  <c r="AQ27" i="1"/>
  <c r="AP57" i="1"/>
  <c r="AQ144" i="1"/>
  <c r="AQ114" i="1"/>
  <c r="AS144" i="1"/>
  <c r="AT68" i="1"/>
  <c r="AT142" i="1"/>
  <c r="AT22" i="1"/>
  <c r="AP8" i="1"/>
  <c r="AP37" i="1"/>
  <c r="AP121" i="1"/>
  <c r="AQ148" i="1"/>
  <c r="AQ11" i="1"/>
  <c r="AS46" i="1"/>
  <c r="AS148" i="1"/>
  <c r="AT121" i="1"/>
  <c r="AT19" i="1"/>
  <c r="AS57" i="1"/>
  <c r="AS7" i="1"/>
  <c r="AS136" i="1"/>
  <c r="AT20" i="1"/>
  <c r="AT8" i="1"/>
  <c r="AT80" i="1"/>
  <c r="AQ19" i="1"/>
  <c r="AQ121" i="1"/>
  <c r="AP136" i="1"/>
  <c r="AQ22" i="1"/>
  <c r="AQ68" i="1"/>
  <c r="AT46" i="1"/>
  <c r="AT119" i="1"/>
  <c r="AT27" i="1"/>
  <c r="AS19" i="1"/>
  <c r="AT124" i="1"/>
  <c r="AP18" i="1"/>
  <c r="AQ9" i="1"/>
  <c r="AT10" i="1"/>
  <c r="AT57" i="1"/>
  <c r="AQ92" i="1"/>
  <c r="AP45" i="1"/>
  <c r="AP20" i="1"/>
  <c r="AQ98" i="1"/>
  <c r="AT58" i="1"/>
  <c r="AS98" i="1"/>
  <c r="AS109" i="1"/>
  <c r="AT145" i="1"/>
  <c r="AS34" i="1"/>
  <c r="AQ107" i="1"/>
  <c r="AQ90" i="1"/>
  <c r="AQ3" i="1"/>
  <c r="AP13" i="1"/>
  <c r="AP73" i="1"/>
  <c r="AP48" i="1"/>
  <c r="AP103" i="1"/>
  <c r="AS25" i="1"/>
  <c r="AS99" i="1"/>
  <c r="AS64" i="1"/>
  <c r="AS51" i="1"/>
  <c r="AT97" i="1"/>
  <c r="AT63" i="1"/>
  <c r="AT117" i="1"/>
  <c r="AT105" i="1"/>
  <c r="AT81" i="1"/>
  <c r="AT61" i="1"/>
  <c r="AS39" i="1"/>
  <c r="AS81" i="1"/>
  <c r="AQ29" i="1"/>
  <c r="AQ53" i="1"/>
  <c r="AQ38" i="1"/>
  <c r="AS134" i="1"/>
  <c r="AS50" i="1"/>
  <c r="AP29" i="1"/>
  <c r="AP69" i="1"/>
  <c r="AQ113" i="1"/>
  <c r="AQ55" i="1"/>
  <c r="AP106" i="1"/>
  <c r="AP53" i="1"/>
  <c r="AP91" i="1"/>
  <c r="AP151" i="1"/>
  <c r="AP38" i="1"/>
  <c r="AQ116" i="1"/>
  <c r="AT96" i="1"/>
  <c r="AT134" i="1"/>
  <c r="AS143" i="1"/>
  <c r="AS146" i="1"/>
  <c r="AT88" i="1"/>
  <c r="AT91" i="1"/>
  <c r="AT107" i="1"/>
  <c r="AT29" i="1"/>
  <c r="AT87" i="1"/>
  <c r="AS61" i="1"/>
  <c r="AT3" i="1"/>
  <c r="AP113" i="1"/>
  <c r="AQ151" i="1"/>
  <c r="AS97" i="1"/>
  <c r="AP63" i="1"/>
  <c r="AP131" i="1"/>
  <c r="AP39" i="1"/>
  <c r="AP149" i="1"/>
  <c r="AQ106" i="1"/>
  <c r="AP71" i="1"/>
  <c r="AQ78" i="1"/>
  <c r="AQ30" i="1"/>
  <c r="AT85" i="1"/>
  <c r="AP61" i="1"/>
  <c r="AP81" i="1"/>
  <c r="AP97" i="1"/>
  <c r="AT103" i="1"/>
  <c r="AT53" i="1"/>
  <c r="AS70" i="1"/>
  <c r="AP140" i="1"/>
  <c r="AQ94" i="1"/>
  <c r="AP139" i="1"/>
  <c r="AQ123" i="1"/>
  <c r="AS21" i="1"/>
  <c r="AS44" i="1"/>
  <c r="AS17" i="1"/>
  <c r="AS36" i="1"/>
  <c r="AT74" i="1"/>
  <c r="AS89" i="1"/>
  <c r="AS140" i="1"/>
  <c r="AS26" i="1"/>
  <c r="AS132" i="1"/>
  <c r="AT50" i="1"/>
  <c r="AQ108" i="1"/>
  <c r="AP108" i="1"/>
  <c r="AQ62" i="1"/>
  <c r="AT21" i="1"/>
  <c r="AT60" i="1"/>
  <c r="AS77" i="1"/>
  <c r="AT127" i="1"/>
  <c r="AT62" i="1"/>
  <c r="AT139" i="1"/>
  <c r="AT26" i="1"/>
  <c r="AS40" i="1"/>
  <c r="AT147" i="1"/>
  <c r="AQ117" i="1"/>
  <c r="AP117" i="1"/>
  <c r="AP50" i="1"/>
  <c r="AT77" i="1"/>
  <c r="AT94" i="1"/>
  <c r="AP74" i="1"/>
  <c r="AP52" i="1"/>
  <c r="AP62" i="1"/>
  <c r="AQ52" i="1"/>
  <c r="AQ40" i="1"/>
  <c r="AS60" i="1"/>
  <c r="AS127" i="1"/>
  <c r="AS139" i="1"/>
  <c r="AT40" i="1"/>
  <c r="AT111" i="1"/>
  <c r="AQ111" i="1"/>
  <c r="AP92" i="1"/>
  <c r="AQ45" i="1"/>
  <c r="AP90" i="1"/>
  <c r="AQ131" i="1"/>
  <c r="AQ34" i="1"/>
  <c r="AQ149" i="1"/>
  <c r="AQ7" i="1"/>
  <c r="AQ31" i="1"/>
  <c r="AP119" i="1"/>
  <c r="AP49" i="1"/>
  <c r="AQ5" i="1"/>
  <c r="AP98" i="1"/>
  <c r="AP9" i="1"/>
  <c r="AP11" i="1"/>
  <c r="AQ12" i="1"/>
  <c r="AQ56" i="1"/>
  <c r="AQ21" i="1"/>
  <c r="AP33" i="1"/>
  <c r="AQ47" i="1"/>
  <c r="AT5" i="1"/>
  <c r="AT71" i="1"/>
  <c r="AT72" i="1"/>
  <c r="AP47" i="1"/>
  <c r="AT9" i="1"/>
  <c r="AS116" i="1"/>
  <c r="AS37" i="1"/>
  <c r="AS94" i="1"/>
  <c r="AT12" i="1"/>
  <c r="AS111" i="1"/>
  <c r="AS15" i="1"/>
  <c r="AQ99" i="1"/>
  <c r="AQ84" i="1"/>
  <c r="AS72" i="1"/>
  <c r="AP17" i="1"/>
  <c r="AQ51" i="1"/>
  <c r="AT149" i="1"/>
  <c r="AQ127" i="1"/>
  <c r="AP89" i="1"/>
  <c r="AP88" i="1"/>
  <c r="AP31" i="1"/>
  <c r="AQ72" i="1"/>
  <c r="AS125" i="1"/>
  <c r="AQ147" i="1"/>
  <c r="AP44" i="1"/>
  <c r="AP12" i="1"/>
  <c r="AP56" i="1"/>
  <c r="AP132" i="1"/>
  <c r="AS56" i="1"/>
  <c r="AS5" i="1"/>
  <c r="AQ125" i="1"/>
  <c r="AQ18" i="1"/>
  <c r="AQ59" i="1"/>
  <c r="AP35" i="1"/>
  <c r="AQ15" i="1"/>
  <c r="AQ135" i="1"/>
  <c r="AP147" i="1"/>
  <c r="AQ20" i="1"/>
  <c r="AQ76" i="1"/>
  <c r="AQ44" i="1"/>
  <c r="AP51" i="1"/>
  <c r="AQ136" i="1"/>
  <c r="AP58" i="1"/>
  <c r="AT104" i="1"/>
  <c r="AT25" i="1"/>
  <c r="AS82" i="1"/>
  <c r="AT45" i="1"/>
  <c r="AS88" i="1"/>
  <c r="AT35" i="1"/>
  <c r="AT84" i="1"/>
  <c r="AS129" i="1"/>
  <c r="AP86" i="1"/>
  <c r="AP16" i="1"/>
  <c r="AS18" i="1"/>
  <c r="AS80" i="1"/>
  <c r="AN141" i="1"/>
  <c r="AP141" i="1" s="1"/>
  <c r="AV141" i="1"/>
  <c r="AT129" i="1"/>
  <c r="AN137" i="1"/>
  <c r="AP137" i="1" s="1"/>
  <c r="AV137" i="1"/>
  <c r="AT59" i="1"/>
  <c r="AT86" i="1"/>
  <c r="AQ35" i="1"/>
  <c r="AQ74" i="1"/>
  <c r="AP144" i="1"/>
  <c r="AQ33" i="1"/>
  <c r="AT125" i="1"/>
  <c r="AT146" i="1"/>
  <c r="AT33" i="1"/>
  <c r="AT108" i="1"/>
  <c r="AT55" i="1"/>
  <c r="AS16" i="1"/>
  <c r="AP26" i="1"/>
  <c r="AT16" i="1"/>
  <c r="AQ80" i="1"/>
  <c r="AN128" i="1"/>
  <c r="AT128" i="1" s="1"/>
  <c r="AV128" i="1"/>
  <c r="AT2" i="1"/>
  <c r="AS2" i="1"/>
  <c r="AQ2" i="1"/>
  <c r="AP2" i="1"/>
  <c r="AK153" i="1" l="1"/>
  <c r="AJ153" i="1"/>
  <c r="AS141" i="1"/>
  <c r="AT141" i="1"/>
  <c r="AP128" i="1"/>
  <c r="AQ141" i="1"/>
  <c r="AQ137" i="1"/>
  <c r="AT137" i="1"/>
  <c r="AS137" i="1"/>
  <c r="AS128" i="1"/>
  <c r="AQ128" i="1"/>
</calcChain>
</file>

<file path=xl/sharedStrings.xml><?xml version="1.0" encoding="utf-8"?>
<sst xmlns="http://schemas.openxmlformats.org/spreadsheetml/2006/main" count="455" uniqueCount="211">
  <si>
    <t>Division</t>
  </si>
  <si>
    <t>State</t>
  </si>
  <si>
    <t>ALP</t>
  </si>
  <si>
    <t>GRN</t>
  </si>
  <si>
    <t>OTH</t>
  </si>
  <si>
    <t>LNP</t>
  </si>
  <si>
    <t>Adelaide</t>
  </si>
  <si>
    <t>SA</t>
  </si>
  <si>
    <t>Aston</t>
  </si>
  <si>
    <t>VIC</t>
  </si>
  <si>
    <t>Ballarat</t>
  </si>
  <si>
    <t>Banks</t>
  </si>
  <si>
    <t>NSW</t>
  </si>
  <si>
    <t>Barker</t>
  </si>
  <si>
    <t>Barton</t>
  </si>
  <si>
    <t>Bass</t>
  </si>
  <si>
    <t>TAS</t>
  </si>
  <si>
    <t>Bendigo</t>
  </si>
  <si>
    <t>Bennelong</t>
  </si>
  <si>
    <t>Berowra</t>
  </si>
  <si>
    <t>Blair</t>
  </si>
  <si>
    <t>QLD</t>
  </si>
  <si>
    <t>Blaxland</t>
  </si>
  <si>
    <t>Bonner</t>
  </si>
  <si>
    <t>Boothby</t>
  </si>
  <si>
    <t>Bowman</t>
  </si>
  <si>
    <t>Braddon</t>
  </si>
  <si>
    <t>Bradfield</t>
  </si>
  <si>
    <t>Brand</t>
  </si>
  <si>
    <t>WA</t>
  </si>
  <si>
    <t>Brisbane</t>
  </si>
  <si>
    <t>Bruce</t>
  </si>
  <si>
    <t>Calare</t>
  </si>
  <si>
    <t>Calwell</t>
  </si>
  <si>
    <t>Canberra</t>
  </si>
  <si>
    <t>ACT</t>
  </si>
  <si>
    <t>Canning</t>
  </si>
  <si>
    <t>Capricornia</t>
  </si>
  <si>
    <t>Casey</t>
  </si>
  <si>
    <t>Chifley</t>
  </si>
  <si>
    <t>Chisholm</t>
  </si>
  <si>
    <t>Cook</t>
  </si>
  <si>
    <t>Corangamite</t>
  </si>
  <si>
    <t>Corio</t>
  </si>
  <si>
    <t>Cowan</t>
  </si>
  <si>
    <t>Cowper</t>
  </si>
  <si>
    <t>Cunningham</t>
  </si>
  <si>
    <t>Curtin</t>
  </si>
  <si>
    <t>Dawson</t>
  </si>
  <si>
    <t>Deakin</t>
  </si>
  <si>
    <t>Dickson</t>
  </si>
  <si>
    <t>Dobell</t>
  </si>
  <si>
    <t>Dunkley</t>
  </si>
  <si>
    <t>Eden-Monaro</t>
  </si>
  <si>
    <t>Fadden</t>
  </si>
  <si>
    <t>Fairfax</t>
  </si>
  <si>
    <t>Farrer</t>
  </si>
  <si>
    <t>Fisher</t>
  </si>
  <si>
    <t>Flinders</t>
  </si>
  <si>
    <t>Forde</t>
  </si>
  <si>
    <t>Forrest</t>
  </si>
  <si>
    <t>Fowler</t>
  </si>
  <si>
    <t>Franklin</t>
  </si>
  <si>
    <t>Fraser</t>
  </si>
  <si>
    <t>Fremantle</t>
  </si>
  <si>
    <t>Gellibrand</t>
  </si>
  <si>
    <t>Gilmore</t>
  </si>
  <si>
    <t>Gippsland</t>
  </si>
  <si>
    <t>Goldstein</t>
  </si>
  <si>
    <t>Gorton</t>
  </si>
  <si>
    <t>Grayndler</t>
  </si>
  <si>
    <t>Greenway</t>
  </si>
  <si>
    <t>Grey</t>
  </si>
  <si>
    <t>Griffith</t>
  </si>
  <si>
    <t>Groom</t>
  </si>
  <si>
    <t>Hasluck</t>
  </si>
  <si>
    <t>Herbert</t>
  </si>
  <si>
    <t>Higgins</t>
  </si>
  <si>
    <t>Hindmarsh</t>
  </si>
  <si>
    <t>Hinkler</t>
  </si>
  <si>
    <t>Holt</t>
  </si>
  <si>
    <t>Hotham</t>
  </si>
  <si>
    <t>Hughes</t>
  </si>
  <si>
    <t>Hume</t>
  </si>
  <si>
    <t>Hunter</t>
  </si>
  <si>
    <t>Indi</t>
  </si>
  <si>
    <t>Isaacs</t>
  </si>
  <si>
    <t>Jagajaga</t>
  </si>
  <si>
    <t>Kennedy</t>
  </si>
  <si>
    <t>Kingsford Smith</t>
  </si>
  <si>
    <t>Kingston</t>
  </si>
  <si>
    <t>Kooyong</t>
  </si>
  <si>
    <t>La Trobe</t>
  </si>
  <si>
    <t>Lalor</t>
  </si>
  <si>
    <t>Leichhardt</t>
  </si>
  <si>
    <t>Lilley</t>
  </si>
  <si>
    <t>Lindsay</t>
  </si>
  <si>
    <t>Lingiari</t>
  </si>
  <si>
    <t>NT</t>
  </si>
  <si>
    <t>Longman</t>
  </si>
  <si>
    <t>Lyne</t>
  </si>
  <si>
    <t>Lyons</t>
  </si>
  <si>
    <t>Macarthur</t>
  </si>
  <si>
    <t>Mackellar</t>
  </si>
  <si>
    <t>Macquarie</t>
  </si>
  <si>
    <t>Makin</t>
  </si>
  <si>
    <t>Mallee</t>
  </si>
  <si>
    <t>Maranoa</t>
  </si>
  <si>
    <t>Maribyrnong</t>
  </si>
  <si>
    <t>Mayo</t>
  </si>
  <si>
    <t>McEwen</t>
  </si>
  <si>
    <t>McPherson</t>
  </si>
  <si>
    <t>Melbourne</t>
  </si>
  <si>
    <t>Menzies</t>
  </si>
  <si>
    <t>Mitchell</t>
  </si>
  <si>
    <t>Moncrieff</t>
  </si>
  <si>
    <t>Moore</t>
  </si>
  <si>
    <t>Moreton</t>
  </si>
  <si>
    <t>New England</t>
  </si>
  <si>
    <t>Newcastle</t>
  </si>
  <si>
    <t>North Sydney</t>
  </si>
  <si>
    <t>O'Connor</t>
  </si>
  <si>
    <t>Oxley</t>
  </si>
  <si>
    <t>Page</t>
  </si>
  <si>
    <t>Parkes</t>
  </si>
  <si>
    <t>Parramatta</t>
  </si>
  <si>
    <t>Paterson</t>
  </si>
  <si>
    <t>Pearce</t>
  </si>
  <si>
    <t>Perth</t>
  </si>
  <si>
    <t>Petrie</t>
  </si>
  <si>
    <t>Rankin</t>
  </si>
  <si>
    <t>Reid</t>
  </si>
  <si>
    <t>Richmond</t>
  </si>
  <si>
    <t>Riverina</t>
  </si>
  <si>
    <t>Robertson</t>
  </si>
  <si>
    <t>Ryan</t>
  </si>
  <si>
    <t>Scullin</t>
  </si>
  <si>
    <t>Shortland</t>
  </si>
  <si>
    <t>Solomon</t>
  </si>
  <si>
    <t>Stirling</t>
  </si>
  <si>
    <t>Sturt</t>
  </si>
  <si>
    <t>Swan</t>
  </si>
  <si>
    <t>Sydney</t>
  </si>
  <si>
    <t>Tangney</t>
  </si>
  <si>
    <t>Wannon</t>
  </si>
  <si>
    <t>Warringah</t>
  </si>
  <si>
    <t>Watson</t>
  </si>
  <si>
    <t>Wentworth</t>
  </si>
  <si>
    <t>Werriwa</t>
  </si>
  <si>
    <t>Wide Bay</t>
  </si>
  <si>
    <t>Wills</t>
  </si>
  <si>
    <t>TotalVote</t>
  </si>
  <si>
    <t>LIB</t>
  </si>
  <si>
    <t>NAT</t>
  </si>
  <si>
    <t>Informal</t>
  </si>
  <si>
    <t>Statistic</t>
  </si>
  <si>
    <t>Value</t>
  </si>
  <si>
    <t>1-only</t>
  </si>
  <si>
    <t>Ticks/crosses</t>
  </si>
  <si>
    <t>Formal</t>
  </si>
  <si>
    <t>LNC</t>
  </si>
  <si>
    <t>Party</t>
  </si>
  <si>
    <t>ToLNC</t>
  </si>
  <si>
    <t>N/A</t>
  </si>
  <si>
    <t>PrefLNC</t>
  </si>
  <si>
    <t>PrimMrgn</t>
  </si>
  <si>
    <t>RetrPref</t>
  </si>
  <si>
    <t>RetrPrefLNC</t>
  </si>
  <si>
    <t>RetrPrefALP</t>
  </si>
  <si>
    <t>PrefALP</t>
  </si>
  <si>
    <t>PrefFlow</t>
  </si>
  <si>
    <t>PrefAdj</t>
  </si>
  <si>
    <t>Incomplete</t>
  </si>
  <si>
    <t>Exhaust</t>
  </si>
  <si>
    <t>PrdExhDiff</t>
  </si>
  <si>
    <t>ExhPrefLNC</t>
  </si>
  <si>
    <t>ExhPrefALP</t>
  </si>
  <si>
    <t>LNC2pp</t>
  </si>
  <si>
    <t>ALP2pp</t>
  </si>
  <si>
    <t>GRN_Pref</t>
  </si>
  <si>
    <t>OTH_Pref</t>
  </si>
  <si>
    <t>LNC_AP</t>
  </si>
  <si>
    <t>ALP_AP</t>
  </si>
  <si>
    <t>LNC_Mod</t>
  </si>
  <si>
    <t>LNC_Exh</t>
  </si>
  <si>
    <t>LNC_FPV</t>
  </si>
  <si>
    <t>Modelled</t>
  </si>
  <si>
    <t>Exh v Mod</t>
  </si>
  <si>
    <t>Flynn</t>
  </si>
  <si>
    <t>Inf %</t>
  </si>
  <si>
    <t>Durack</t>
  </si>
  <si>
    <t>McMahon</t>
  </si>
  <si>
    <t>Wright</t>
  </si>
  <si>
    <t>Total formal-under-OPV</t>
  </si>
  <si>
    <t>NSW adjustment</t>
  </si>
  <si>
    <t>2ppVotes</t>
  </si>
  <si>
    <t>NSW_Inf</t>
  </si>
  <si>
    <t>RWN</t>
  </si>
  <si>
    <t>RWN_Pref</t>
  </si>
  <si>
    <t>Mod v FPV</t>
  </si>
  <si>
    <t>Exh v FPV</t>
  </si>
  <si>
    <t>Bean</t>
  </si>
  <si>
    <t>Burt</t>
  </si>
  <si>
    <t>Clark</t>
  </si>
  <si>
    <t>Cooper</t>
  </si>
  <si>
    <t>Fenner</t>
  </si>
  <si>
    <t>Macnamara</t>
  </si>
  <si>
    <t>Monash</t>
  </si>
  <si>
    <t>Nicholls</t>
  </si>
  <si>
    <t>Spence</t>
  </si>
  <si>
    <t>Whitlam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</si>
</sst>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Lato Semilight"/>
      <family val="2"/>
    </font>
    <font>
      <sz val="10"/>
      <color theme="1"/>
      <name val="Lato Semilight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0"/>
      </font>
      <fill>
        <patternFill>
          <bgColor rgb="FF9840C8"/>
        </patternFill>
      </fill>
    </dxf>
    <dxf>
      <font>
        <color theme="0"/>
      </font>
      <fill>
        <patternFill>
          <bgColor rgb="FF9840C8"/>
        </patternFill>
      </fill>
    </dxf>
    <dxf>
      <font>
        <color theme="0"/>
      </font>
      <fill>
        <patternFill>
          <bgColor rgb="FF9840C8"/>
        </patternFill>
      </fill>
    </dxf>
  </dxfs>
  <tableStyles count="0" defaultTableStyle="TableStyleMedium2" defaultPivotStyle="PivotStyleLight16"/>
  <colors>
    <mruColors>
      <color rgb="FF9840C8"/>
      <color rgb="FF9830D0"/>
      <color rgb="FFA840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263-534E-4797-91D3-3582DA4DBA63}">
  <sheetPr codeName="Meta"/>
  <dimension ref="A1:B6"/>
  <sheetViews>
    <sheetView workbookViewId="0"/>
  </sheetViews>
  <sheetFormatPr defaultColWidth="8.8203125" defaultRowHeight="16.149999999999999" x14ac:dyDescent="0.55000000000000004"/>
  <cols>
    <col min="1" max="1" width="20.703125" style="1" customWidth="1"/>
    <col min="2" max="16384" width="8.8203125" style="1"/>
  </cols>
  <sheetData>
    <row r="1" spans="1:2" x14ac:dyDescent="0.55000000000000004">
      <c r="A1" s="1" t="s">
        <v>155</v>
      </c>
      <c r="B1" s="1" t="s">
        <v>156</v>
      </c>
    </row>
    <row r="2" spans="1:2" x14ac:dyDescent="0.55000000000000004">
      <c r="A2" s="1" t="s">
        <v>157</v>
      </c>
      <c r="B2" s="1">
        <v>0.14599999999999999</v>
      </c>
    </row>
    <row r="3" spans="1:2" x14ac:dyDescent="0.55000000000000004">
      <c r="A3" s="1" t="s">
        <v>158</v>
      </c>
      <c r="B3" s="1">
        <v>0.108</v>
      </c>
    </row>
    <row r="4" spans="1:2" x14ac:dyDescent="0.55000000000000004">
      <c r="A4" s="1" t="s">
        <v>172</v>
      </c>
      <c r="B4" s="1">
        <v>7.5999999999999998E-2</v>
      </c>
    </row>
    <row r="5" spans="1:2" x14ac:dyDescent="0.55000000000000004">
      <c r="A5" s="1" t="s">
        <v>193</v>
      </c>
      <c r="B5" s="1">
        <f>SUM(B2:B4)</f>
        <v>0.33</v>
      </c>
    </row>
    <row r="6" spans="1:2" x14ac:dyDescent="0.55000000000000004">
      <c r="A6" s="1" t="s">
        <v>194</v>
      </c>
      <c r="B6" s="1">
        <f>ROUND(4.66/7.01,3)</f>
        <v>0.66500000000000004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E03B-EF66-41C7-813B-AB8CD11C23FF}">
  <sheetPr codeName="DivData"/>
  <dimension ref="A1:AV154"/>
  <sheetViews>
    <sheetView tabSelected="1" workbookViewId="0">
      <pane xSplit="1" topLeftCell="B1" activePane="topRight" state="frozen"/>
      <selection pane="topRight"/>
    </sheetView>
  </sheetViews>
  <sheetFormatPr defaultColWidth="8.8203125" defaultRowHeight="16.149999999999999" x14ac:dyDescent="0.55000000000000004"/>
  <cols>
    <col min="1" max="1" width="17.17578125" style="2" customWidth="1"/>
    <col min="2" max="2" width="8.8203125" style="3"/>
    <col min="3" max="3" width="8.8203125" style="4"/>
    <col min="4" max="8" width="8.8203125" style="5"/>
    <col min="9" max="9" width="8.8203125" style="4"/>
    <col min="10" max="10" width="8.8203125" style="3"/>
    <col min="11" max="11" width="8.8203125" style="4"/>
    <col min="12" max="12" width="8.8203125" style="5"/>
    <col min="13" max="13" width="8.8203125" style="3"/>
    <col min="14" max="14" width="8.8203125" style="5"/>
    <col min="15" max="15" width="8.8203125" style="4"/>
    <col min="16" max="18" width="8.8203125" style="5"/>
    <col min="19" max="19" width="8.8203125" style="3"/>
    <col min="20" max="20" width="10.703125" style="6" customWidth="1"/>
    <col min="21" max="21" width="13.17578125" style="4" customWidth="1"/>
    <col min="22" max="22" width="13.17578125" style="3" customWidth="1"/>
    <col min="23" max="23" width="8.8203125" style="4"/>
    <col min="24" max="24" width="8.8203125" style="3"/>
    <col min="25" max="25" width="8.8203125" style="4"/>
    <col min="26" max="27" width="8.8203125" style="5"/>
    <col min="28" max="28" width="8.8203125" style="3"/>
    <col min="29" max="29" width="8.8203125" style="4"/>
    <col min="30" max="30" width="8.8203125" style="5"/>
    <col min="31" max="31" width="8.8203125" style="3"/>
    <col min="32" max="32" width="13.17578125" style="4" customWidth="1"/>
    <col min="33" max="33" width="13.17578125" style="3" customWidth="1"/>
    <col min="34" max="34" width="8.8203125" style="4"/>
    <col min="35" max="35" width="8.8203125" style="3"/>
    <col min="36" max="36" width="8.8203125" style="4"/>
    <col min="37" max="37" width="8.8203125" style="3"/>
    <col min="38" max="39" width="8.8203125" style="1"/>
    <col min="40" max="40" width="8.8203125" style="3"/>
    <col min="41" max="42" width="8.8203125" style="1"/>
    <col min="43" max="43" width="8.8203125" style="3"/>
    <col min="44" max="45" width="8.8203125" style="1"/>
    <col min="46" max="46" width="8.8203125" style="3"/>
    <col min="47" max="47" width="8.8203125" style="1"/>
    <col min="48" max="48" width="8.8203125" style="3"/>
    <col min="49" max="16384" width="8.8203125" style="1"/>
  </cols>
  <sheetData>
    <row r="1" spans="1:48" s="7" customFormat="1" x14ac:dyDescent="0.55000000000000004">
      <c r="A1" s="7" t="s">
        <v>0</v>
      </c>
      <c r="B1" s="8" t="s">
        <v>1</v>
      </c>
      <c r="C1" s="9" t="s">
        <v>2</v>
      </c>
      <c r="D1" s="7" t="s">
        <v>152</v>
      </c>
      <c r="E1" s="7" t="s">
        <v>153</v>
      </c>
      <c r="F1" s="7" t="s">
        <v>197</v>
      </c>
      <c r="G1" s="7" t="s">
        <v>3</v>
      </c>
      <c r="H1" s="7" t="s">
        <v>4</v>
      </c>
      <c r="I1" s="9" t="s">
        <v>5</v>
      </c>
      <c r="J1" s="8" t="s">
        <v>2</v>
      </c>
      <c r="K1" s="9" t="s">
        <v>151</v>
      </c>
      <c r="L1" s="7" t="s">
        <v>154</v>
      </c>
      <c r="M1" s="8" t="s">
        <v>159</v>
      </c>
      <c r="N1" s="7" t="s">
        <v>189</v>
      </c>
      <c r="O1" s="9" t="s">
        <v>2</v>
      </c>
      <c r="P1" s="7" t="s">
        <v>160</v>
      </c>
      <c r="Q1" s="7" t="s">
        <v>197</v>
      </c>
      <c r="R1" s="7" t="s">
        <v>3</v>
      </c>
      <c r="S1" s="8" t="s">
        <v>4</v>
      </c>
      <c r="T1" s="10" t="s">
        <v>165</v>
      </c>
      <c r="U1" s="9" t="s">
        <v>167</v>
      </c>
      <c r="V1" s="8" t="s">
        <v>168</v>
      </c>
      <c r="W1" s="9" t="s">
        <v>164</v>
      </c>
      <c r="X1" s="8" t="s">
        <v>169</v>
      </c>
      <c r="Y1" s="9" t="s">
        <v>166</v>
      </c>
      <c r="Z1" s="7" t="s">
        <v>170</v>
      </c>
      <c r="AA1" s="7" t="s">
        <v>171</v>
      </c>
      <c r="AB1" s="11" t="s">
        <v>174</v>
      </c>
      <c r="AC1" s="9" t="s">
        <v>198</v>
      </c>
      <c r="AD1" s="7" t="s">
        <v>179</v>
      </c>
      <c r="AE1" s="8" t="s">
        <v>180</v>
      </c>
      <c r="AF1" s="9" t="s">
        <v>175</v>
      </c>
      <c r="AG1" s="8" t="s">
        <v>176</v>
      </c>
      <c r="AH1" s="9" t="s">
        <v>181</v>
      </c>
      <c r="AI1" s="8" t="s">
        <v>182</v>
      </c>
      <c r="AJ1" s="9" t="s">
        <v>177</v>
      </c>
      <c r="AK1" s="8" t="s">
        <v>178</v>
      </c>
      <c r="AL1" s="7" t="s">
        <v>185</v>
      </c>
      <c r="AM1" s="7" t="s">
        <v>184</v>
      </c>
      <c r="AN1" s="8" t="s">
        <v>183</v>
      </c>
      <c r="AO1" s="7" t="s">
        <v>173</v>
      </c>
      <c r="AP1" s="7" t="s">
        <v>186</v>
      </c>
      <c r="AQ1" s="8" t="s">
        <v>187</v>
      </c>
      <c r="AR1" s="7" t="s">
        <v>200</v>
      </c>
      <c r="AS1" s="7" t="s">
        <v>199</v>
      </c>
      <c r="AT1" s="8" t="s">
        <v>187</v>
      </c>
      <c r="AU1" s="7" t="s">
        <v>196</v>
      </c>
      <c r="AV1" s="8" t="s">
        <v>195</v>
      </c>
    </row>
    <row r="2" spans="1:48" x14ac:dyDescent="0.55000000000000004">
      <c r="A2" s="2" t="s">
        <v>6</v>
      </c>
      <c r="B2" s="3" t="s">
        <v>7</v>
      </c>
      <c r="C2" s="4">
        <v>40.270000000000003</v>
      </c>
      <c r="D2" s="5">
        <v>36.159999999999997</v>
      </c>
      <c r="E2" s="5">
        <v>0</v>
      </c>
      <c r="F2" s="5">
        <v>3.25</v>
      </c>
      <c r="G2" s="5">
        <v>15.72</v>
      </c>
      <c r="H2" s="5">
        <v>4.5999999999999996</v>
      </c>
      <c r="I2" s="4">
        <v>41.82</v>
      </c>
      <c r="J2" s="3">
        <v>58.18</v>
      </c>
      <c r="K2" s="4">
        <v>111299</v>
      </c>
      <c r="L2" s="5">
        <v>4118</v>
      </c>
      <c r="M2" s="3">
        <f>ROUND(K2-L2,0)</f>
        <v>107181</v>
      </c>
      <c r="N2" s="5">
        <f>L2/K2</f>
        <v>3.6999433957178411E-2</v>
      </c>
      <c r="O2" s="4">
        <f>ROUND($C2+MIN($D2:$E2)*(1-SUMIFS(PrefFlows!$C:$C,PrefFlows!$A:$A,INDEX($D$1:$E$1,MATCH(MIN($D2:$E2),$D2:$E2,0)),PrefFlows!$B:$B,$B2)),2)</f>
        <v>40.270000000000003</v>
      </c>
      <c r="P2" s="5">
        <f>ROUND(MAX($D2:$E2)+MIN($D2:$E2)*SUMIFS(PrefFlows!$C:$C,PrefFlows!$A:$A,INDEX($D$1:$E$1,MATCH(MIN($D2:$E2),$D2:$E2,0)),PrefFlows!$B:$B,$B2),2)</f>
        <v>36.159999999999997</v>
      </c>
      <c r="Q2" s="5">
        <f>ROUND(F2,2)</f>
        <v>3.25</v>
      </c>
      <c r="R2" s="5">
        <f>ROUND(G2,2)</f>
        <v>15.72</v>
      </c>
      <c r="S2" s="3">
        <f>ROUND(H2,2)</f>
        <v>4.5999999999999996</v>
      </c>
      <c r="T2" s="6">
        <f>ROUND(P2-O2,2)</f>
        <v>-4.1100000000000003</v>
      </c>
      <c r="U2" s="4">
        <f>ROUND($Q2*SUMIFS(PrefFlows!$C:$C,PrefFlows!$A:$A,$Q$1,PrefFlows!$B:$B,$B2)+$R2*SUMIFS(PrefFlows!$C:$C,PrefFlows!$A:$A,$R$1,PrefFlows!$B:$B,$B2)+$S2*SUMIFS(PrefFlows!$C:$C,PrefFlows!$A:$A,$S$1,PrefFlows!$B:$B,$B2),2)</f>
        <v>7.64</v>
      </c>
      <c r="V2" s="3">
        <f>ROUND($Q2*(1-SUMIFS(PrefFlows!$C:$C,PrefFlows!$A:$A,$Q$1,PrefFlows!$B:$B,$B2))+$R2*(1-SUMIFS(PrefFlows!$C:$C,PrefFlows!$A:$A,$R$1,PrefFlows!$B:$B,$B2))+$S2*(1-SUMIFS(PrefFlows!$C:$C,PrefFlows!$A:$A,$S$1,PrefFlows!$B:$B,$B2)),2)</f>
        <v>15.93</v>
      </c>
      <c r="W2" s="4">
        <f>ROUND(I2-P2,2)</f>
        <v>5.66</v>
      </c>
      <c r="X2" s="3">
        <f>ROUND(J2-O2,2)</f>
        <v>17.91</v>
      </c>
      <c r="Y2" s="4">
        <f>ROUND(U2/SUM(U2:V2),4)</f>
        <v>0.3241</v>
      </c>
      <c r="Z2" s="5">
        <f>ROUND(W2/SUM(W2:X2),4)</f>
        <v>0.24010000000000001</v>
      </c>
      <c r="AA2" s="5">
        <f>ROUND(Z2-Y2,4)</f>
        <v>-8.4000000000000005E-2</v>
      </c>
      <c r="AB2" s="3">
        <v>-1.48264310561104E-2</v>
      </c>
      <c r="AC2" s="4">
        <f>ROUND(Q2*(1-(Exhaust!$B$2+AB2)),2)</f>
        <v>1.48</v>
      </c>
      <c r="AD2" s="5">
        <f>ROUND(R2*(1-(Exhaust!$B$3+$AB2)),2)</f>
        <v>9.67</v>
      </c>
      <c r="AE2" s="3">
        <f>ROUND(S2*(1-(Exhaust!$B$4+$AB2)),2)</f>
        <v>2.37</v>
      </c>
      <c r="AF2" s="4">
        <f>ROUND($AC2*(SUMIFS(PrefFlows!$C:$C,PrefFlows!$A:$A,$Q$1,PrefFlows!$B:$B,$B2)+$AA2)+$AD2*(SUMIFS(PrefFlows!$C:$C,PrefFlows!$A:$A,$R$1,PrefFlows!$B:$B,$B2)+$AA2)+$AE2*(SUMIFS(PrefFlows!$C:$C,PrefFlows!$A:$A,$S$1,PrefFlows!$B:$B,$B2)+$AA2),2)</f>
        <v>2.99</v>
      </c>
      <c r="AG2" s="3">
        <f>ROUND($AC2*(1-(SUMIFS(PrefFlows!$C:$C,PrefFlows!$A:$A,$Q$1,PrefFlows!$B:$B,$B2)+$AA2))+$AD2*(1-(SUMIFS(PrefFlows!$C:$C,PrefFlows!$A:$A,$R$1,PrefFlows!$B:$B,$B2)+$AA2))+$AE2*(1-(SUMIFS(PrefFlows!$C:$C,PrefFlows!$A:$A,$S$1,PrefFlows!$B:$B,$B2)+$AA2)),2)</f>
        <v>10.53</v>
      </c>
      <c r="AH2" s="4">
        <f>ROUND(P2+AF2,2)</f>
        <v>39.15</v>
      </c>
      <c r="AI2" s="3">
        <f>ROUND(O2+AG2,2)</f>
        <v>50.8</v>
      </c>
      <c r="AJ2" s="4">
        <f>ROUND(AH2/SUM($AH2:$AI2)*100,2)</f>
        <v>43.52</v>
      </c>
      <c r="AK2" s="3">
        <f>ROUND(AI2/SUM($AH2:$AI2)*100,2)</f>
        <v>56.48</v>
      </c>
      <c r="AL2" s="1">
        <f t="shared" ref="AL2:AL33" si="0">ROUND(I2-50,2)</f>
        <v>-8.18</v>
      </c>
      <c r="AM2" s="1">
        <f t="shared" ref="AM2:AM33" si="1">ROUND((P2+W2*0.52)/((P2+W2*0.52)+(O2+X2*0.52))*100-50,2)</f>
        <v>-5.91</v>
      </c>
      <c r="AN2" s="3">
        <f t="shared" ref="AN2:AN33" si="2">ROUND(AJ2-50,2)</f>
        <v>-6.48</v>
      </c>
      <c r="AO2" s="1" t="b">
        <f>$AL2/AM2&lt;0</f>
        <v>0</v>
      </c>
      <c r="AP2" s="1" t="b">
        <f>$AL2/AN2&lt;0</f>
        <v>0</v>
      </c>
      <c r="AQ2" s="3" t="b">
        <f>AM2/AN2&lt;0</f>
        <v>0</v>
      </c>
      <c r="AR2" s="1">
        <f>(AM2-$AL2)</f>
        <v>2.2699999999999996</v>
      </c>
      <c r="AS2" s="1">
        <f>(AN2-$AL2)</f>
        <v>1.6999999999999993</v>
      </c>
      <c r="AT2" s="3">
        <f>ABS(AN2-$AM2)</f>
        <v>0.57000000000000028</v>
      </c>
      <c r="AU2" s="1">
        <f>ROUND(IF($B2="NSW",L2*Meta!$B$6,L2),1)</f>
        <v>4118</v>
      </c>
      <c r="AV2" s="3">
        <f t="shared" ref="AV2:AV33" si="3">ROUND((K2-AU2*($AU$154/$AU$153))*SUM($AJ2:$AK2)/100,1)</f>
        <v>108101.2</v>
      </c>
    </row>
    <row r="3" spans="1:48" x14ac:dyDescent="0.55000000000000004">
      <c r="A3" s="2" t="s">
        <v>8</v>
      </c>
      <c r="B3" s="3" t="s">
        <v>9</v>
      </c>
      <c r="C3" s="4">
        <v>29.81</v>
      </c>
      <c r="D3" s="5">
        <v>54.69</v>
      </c>
      <c r="E3" s="5">
        <v>0</v>
      </c>
      <c r="F3" s="5">
        <v>3.61</v>
      </c>
      <c r="G3" s="5">
        <v>8.86</v>
      </c>
      <c r="H3" s="5">
        <v>3.03</v>
      </c>
      <c r="I3" s="4">
        <v>60.13</v>
      </c>
      <c r="J3" s="3">
        <v>39.869999999999997</v>
      </c>
      <c r="K3" s="4">
        <v>103919</v>
      </c>
      <c r="L3" s="5">
        <v>3829</v>
      </c>
      <c r="M3" s="3">
        <f t="shared" ref="M3:M66" si="4">ROUND(K3-L3,0)</f>
        <v>100090</v>
      </c>
      <c r="N3" s="5">
        <f t="shared" ref="N3:N66" si="5">L3/K3</f>
        <v>3.6846005061634539E-2</v>
      </c>
      <c r="O3" s="4">
        <f>ROUND($C3+MIN($D3:$E3)*(1-SUMIFS(PrefFlows!$C:$C,PrefFlows!$A:$A,INDEX($D$1:$E$1,MATCH(MIN($D3:$E3),$D3:$E3,0)),PrefFlows!$B:$B,$B3)),2)</f>
        <v>29.81</v>
      </c>
      <c r="P3" s="5">
        <f>ROUND(MAX($D3:$E3)+MIN($D3:$E3)*SUMIFS(PrefFlows!$C:$C,PrefFlows!$A:$A,INDEX($D$1:$E$1,MATCH(MIN($D3:$E3),$D3:$E3,0)),PrefFlows!$B:$B,$B3),2)</f>
        <v>54.69</v>
      </c>
      <c r="Q3" s="5">
        <f t="shared" ref="Q3:Q34" si="6">ROUND(F3,2)</f>
        <v>3.61</v>
      </c>
      <c r="R3" s="5">
        <f t="shared" ref="R3:R34" si="7">ROUND(G3,2)</f>
        <v>8.86</v>
      </c>
      <c r="S3" s="3">
        <f t="shared" ref="S3:S66" si="8">ROUND(H3,2)</f>
        <v>3.03</v>
      </c>
      <c r="T3" s="6">
        <f t="shared" ref="T3:T66" si="9">ROUND(P3-O3,2)</f>
        <v>24.88</v>
      </c>
      <c r="U3" s="4">
        <f>ROUND($Q3*SUMIFS(PrefFlows!$C:$C,PrefFlows!$A:$A,$Q$1,PrefFlows!$B:$B,$B3)+$R3*SUMIFS(PrefFlows!$C:$C,PrefFlows!$A:$A,$R$1,PrefFlows!$B:$B,$B3)+$S3*SUMIFS(PrefFlows!$C:$C,PrefFlows!$A:$A,$S$1,PrefFlows!$B:$B,$B3),2)</f>
        <v>5.34</v>
      </c>
      <c r="V3" s="3">
        <f>ROUND($Q3*(1-SUMIFS(PrefFlows!$C:$C,PrefFlows!$A:$A,$Q$1,PrefFlows!$B:$B,$B3))+$R3*(1-SUMIFS(PrefFlows!$C:$C,PrefFlows!$A:$A,$R$1,PrefFlows!$B:$B,$B3))+$S3*(1-SUMIFS(PrefFlows!$C:$C,PrefFlows!$A:$A,$S$1,PrefFlows!$B:$B,$B3)),2)</f>
        <v>10.16</v>
      </c>
      <c r="W3" s="4">
        <f t="shared" ref="W3:W66" si="10">ROUND(I3-P3,2)</f>
        <v>5.44</v>
      </c>
      <c r="X3" s="3">
        <f t="shared" ref="X3:X66" si="11">ROUND(J3-O3,2)</f>
        <v>10.06</v>
      </c>
      <c r="Y3" s="4">
        <f t="shared" ref="Y3:Y66" si="12">ROUND(U3/SUM(U3:V3),4)</f>
        <v>0.34449999999999997</v>
      </c>
      <c r="Z3" s="5">
        <f t="shared" ref="Z3:Z66" si="13">ROUND(W3/SUM(W3:X3),4)</f>
        <v>0.35099999999999998</v>
      </c>
      <c r="AA3" s="5">
        <f t="shared" ref="AA3:AA66" si="14">ROUND(Z3-Y3,4)</f>
        <v>6.4999999999999997E-3</v>
      </c>
      <c r="AB3" s="3">
        <v>2.6135524969963801E-2</v>
      </c>
      <c r="AC3" s="4">
        <f>ROUND(Q3*(1-(Exhaust!$B$2+AB3)),2)</f>
        <v>1.49</v>
      </c>
      <c r="AD3" s="5">
        <f>ROUND(R3*(1-(Exhaust!$B$3+$AB3)),2)</f>
        <v>5.08</v>
      </c>
      <c r="AE3" s="3">
        <f>ROUND(S3*(1-(Exhaust!$B$4+$AB3)),2)</f>
        <v>1.44</v>
      </c>
      <c r="AF3" s="4">
        <f>ROUND($AC3*(SUMIFS(PrefFlows!$C:$C,PrefFlows!$A:$A,$Q$1,PrefFlows!$B:$B,$B3)+$AA3)+$AD3*(SUMIFS(PrefFlows!$C:$C,PrefFlows!$A:$A,$R$1,PrefFlows!$B:$B,$B3)+$AA3)+$AE3*(SUMIFS(PrefFlows!$C:$C,PrefFlows!$A:$A,$S$1,PrefFlows!$B:$B,$B3)+$AA3),2)</f>
        <v>2.58</v>
      </c>
      <c r="AG3" s="3">
        <f>ROUND($AC3*(1-(SUMIFS(PrefFlows!$C:$C,PrefFlows!$A:$A,$Q$1,PrefFlows!$B:$B,$B3)+$AA3))+$AD3*(1-(SUMIFS(PrefFlows!$C:$C,PrefFlows!$A:$A,$R$1,PrefFlows!$B:$B,$B3)+$AA3))+$AE3*(1-(SUMIFS(PrefFlows!$C:$C,PrefFlows!$A:$A,$S$1,PrefFlows!$B:$B,$B3)+$AA3)),2)</f>
        <v>5.43</v>
      </c>
      <c r="AH3" s="4">
        <f t="shared" ref="AH3:AH66" si="15">ROUND(P3+AF3,2)</f>
        <v>57.27</v>
      </c>
      <c r="AI3" s="3">
        <f t="shared" ref="AI3:AI66" si="16">ROUND(O3+AG3,2)</f>
        <v>35.24</v>
      </c>
      <c r="AJ3" s="4">
        <f t="shared" ref="AJ3:AK66" si="17">ROUND(AH3/SUM($AH3:$AI3)*100,2)</f>
        <v>61.91</v>
      </c>
      <c r="AK3" s="3">
        <f t="shared" si="17"/>
        <v>38.090000000000003</v>
      </c>
      <c r="AL3" s="1">
        <f t="shared" si="0"/>
        <v>10.130000000000001</v>
      </c>
      <c r="AM3" s="1">
        <f t="shared" si="1"/>
        <v>12.14</v>
      </c>
      <c r="AN3" s="3">
        <f t="shared" si="2"/>
        <v>11.91</v>
      </c>
      <c r="AO3" s="1" t="b">
        <f t="shared" ref="AO3:AP66" si="18">$AL3/AM3&lt;0</f>
        <v>0</v>
      </c>
      <c r="AP3" s="1" t="b">
        <f t="shared" si="18"/>
        <v>0</v>
      </c>
      <c r="AQ3" s="3" t="b">
        <f t="shared" ref="AQ3:AQ66" si="19">AM3/AN3&lt;0</f>
        <v>0</v>
      </c>
      <c r="AR3" s="1">
        <f t="shared" ref="AR3:AS66" si="20">(AM3-$AL3)</f>
        <v>2.0099999999999998</v>
      </c>
      <c r="AS3" s="1">
        <f t="shared" si="20"/>
        <v>1.7799999999999994</v>
      </c>
      <c r="AT3" s="3">
        <f t="shared" ref="AT3:AT66" si="21">ABS(AN3-$AM3)</f>
        <v>0.23000000000000043</v>
      </c>
      <c r="AU3" s="1">
        <f>ROUND(IF($B3="NSW",L3*Meta!$B$6,L3),1)</f>
        <v>3829</v>
      </c>
      <c r="AV3" s="3">
        <f t="shared" si="3"/>
        <v>100945.60000000001</v>
      </c>
    </row>
    <row r="4" spans="1:48" x14ac:dyDescent="0.55000000000000004">
      <c r="A4" s="2" t="s">
        <v>10</v>
      </c>
      <c r="B4" s="3" t="s">
        <v>9</v>
      </c>
      <c r="C4" s="4">
        <v>47.79</v>
      </c>
      <c r="D4" s="5">
        <v>30.64</v>
      </c>
      <c r="E4" s="5">
        <v>0</v>
      </c>
      <c r="F4" s="5">
        <v>4.62</v>
      </c>
      <c r="G4" s="5">
        <v>8.84</v>
      </c>
      <c r="H4" s="5">
        <v>8.11</v>
      </c>
      <c r="I4" s="4">
        <v>39.020000000000003</v>
      </c>
      <c r="J4" s="3">
        <v>60.98</v>
      </c>
      <c r="K4" s="4">
        <v>107372</v>
      </c>
      <c r="L4" s="5">
        <v>4689</v>
      </c>
      <c r="M4" s="3">
        <f t="shared" si="4"/>
        <v>102683</v>
      </c>
      <c r="N4" s="5">
        <f t="shared" si="5"/>
        <v>4.3670603136758183E-2</v>
      </c>
      <c r="O4" s="4">
        <f>ROUND($C4+MIN($D4:$E4)*(1-SUMIFS(PrefFlows!$C:$C,PrefFlows!$A:$A,INDEX($D$1:$E$1,MATCH(MIN($D4:$E4),$D4:$E4,0)),PrefFlows!$B:$B,$B4)),2)</f>
        <v>47.79</v>
      </c>
      <c r="P4" s="5">
        <f>ROUND(MAX($D4:$E4)+MIN($D4:$E4)*SUMIFS(PrefFlows!$C:$C,PrefFlows!$A:$A,INDEX($D$1:$E$1,MATCH(MIN($D4:$E4),$D4:$E4,0)),PrefFlows!$B:$B,$B4),2)</f>
        <v>30.64</v>
      </c>
      <c r="Q4" s="5">
        <f t="shared" si="6"/>
        <v>4.62</v>
      </c>
      <c r="R4" s="5">
        <f t="shared" si="7"/>
        <v>8.84</v>
      </c>
      <c r="S4" s="3">
        <f t="shared" si="8"/>
        <v>8.11</v>
      </c>
      <c r="T4" s="6">
        <f t="shared" si="9"/>
        <v>-17.149999999999999</v>
      </c>
      <c r="U4" s="4">
        <f>ROUND($Q4*SUMIFS(PrefFlows!$C:$C,PrefFlows!$A:$A,$Q$1,PrefFlows!$B:$B,$B4)+$R4*SUMIFS(PrefFlows!$C:$C,PrefFlows!$A:$A,$R$1,PrefFlows!$B:$B,$B4)+$S4*SUMIFS(PrefFlows!$C:$C,PrefFlows!$A:$A,$S$1,PrefFlows!$B:$B,$B4),2)</f>
        <v>8.73</v>
      </c>
      <c r="V4" s="3">
        <f>ROUND($Q4*(1-SUMIFS(PrefFlows!$C:$C,PrefFlows!$A:$A,$Q$1,PrefFlows!$B:$B,$B4))+$R4*(1-SUMIFS(PrefFlows!$C:$C,PrefFlows!$A:$A,$R$1,PrefFlows!$B:$B,$B4))+$S4*(1-SUMIFS(PrefFlows!$C:$C,PrefFlows!$A:$A,$S$1,PrefFlows!$B:$B,$B4)),2)</f>
        <v>12.84</v>
      </c>
      <c r="W4" s="4">
        <f t="shared" si="10"/>
        <v>8.3800000000000008</v>
      </c>
      <c r="X4" s="3">
        <f t="shared" si="11"/>
        <v>13.19</v>
      </c>
      <c r="Y4" s="4">
        <f t="shared" si="12"/>
        <v>0.4047</v>
      </c>
      <c r="Z4" s="5">
        <f t="shared" si="13"/>
        <v>0.38850000000000001</v>
      </c>
      <c r="AA4" s="5">
        <f t="shared" si="14"/>
        <v>-1.6199999999999999E-2</v>
      </c>
      <c r="AB4" s="3">
        <v>1.8344586048900199E-2</v>
      </c>
      <c r="AC4" s="4">
        <f>ROUND(Q4*(1-(Exhaust!$B$2+AB4)),2)</f>
        <v>1.95</v>
      </c>
      <c r="AD4" s="5">
        <f>ROUND(R4*(1-(Exhaust!$B$3+$AB4)),2)</f>
        <v>5.14</v>
      </c>
      <c r="AE4" s="3">
        <f>ROUND(S4*(1-(Exhaust!$B$4+$AB4)),2)</f>
        <v>3.91</v>
      </c>
      <c r="AF4" s="4">
        <f>ROUND($AC4*(SUMIFS(PrefFlows!$C:$C,PrefFlows!$A:$A,$Q$1,PrefFlows!$B:$B,$B4)+$AA4)+$AD4*(SUMIFS(PrefFlows!$C:$C,PrefFlows!$A:$A,$R$1,PrefFlows!$B:$B,$B4)+$AA4)+$AE4*(SUMIFS(PrefFlows!$C:$C,PrefFlows!$A:$A,$S$1,PrefFlows!$B:$B,$B4)+$AA4),2)</f>
        <v>3.99</v>
      </c>
      <c r="AG4" s="3">
        <f>ROUND($AC4*(1-(SUMIFS(PrefFlows!$C:$C,PrefFlows!$A:$A,$Q$1,PrefFlows!$B:$B,$B4)+$AA4))+$AD4*(1-(SUMIFS(PrefFlows!$C:$C,PrefFlows!$A:$A,$R$1,PrefFlows!$B:$B,$B4)+$AA4))+$AE4*(1-(SUMIFS(PrefFlows!$C:$C,PrefFlows!$A:$A,$S$1,PrefFlows!$B:$B,$B4)+$AA4)),2)</f>
        <v>7.01</v>
      </c>
      <c r="AH4" s="4">
        <f t="shared" si="15"/>
        <v>34.630000000000003</v>
      </c>
      <c r="AI4" s="3">
        <f t="shared" si="16"/>
        <v>54.8</v>
      </c>
      <c r="AJ4" s="4">
        <f t="shared" si="17"/>
        <v>38.72</v>
      </c>
      <c r="AK4" s="3">
        <f t="shared" si="17"/>
        <v>61.28</v>
      </c>
      <c r="AL4" s="1">
        <f t="shared" si="0"/>
        <v>-10.98</v>
      </c>
      <c r="AM4" s="1">
        <f t="shared" si="1"/>
        <v>-10.96</v>
      </c>
      <c r="AN4" s="3">
        <f t="shared" si="2"/>
        <v>-11.28</v>
      </c>
      <c r="AO4" s="1" t="b">
        <f t="shared" si="18"/>
        <v>0</v>
      </c>
      <c r="AP4" s="1" t="b">
        <f t="shared" si="18"/>
        <v>0</v>
      </c>
      <c r="AQ4" s="3" t="b">
        <f t="shared" si="19"/>
        <v>0</v>
      </c>
      <c r="AR4" s="1">
        <f t="shared" si="20"/>
        <v>1.9999999999999574E-2</v>
      </c>
      <c r="AS4" s="1">
        <f t="shared" si="20"/>
        <v>-0.29999999999999893</v>
      </c>
      <c r="AT4" s="3">
        <f t="shared" si="21"/>
        <v>0.31999999999999851</v>
      </c>
      <c r="AU4" s="1">
        <f>ROUND(IF($B4="NSW",L4*Meta!$B$6,L4),1)</f>
        <v>4689</v>
      </c>
      <c r="AV4" s="3">
        <f t="shared" si="3"/>
        <v>103730.8</v>
      </c>
    </row>
    <row r="5" spans="1:48" x14ac:dyDescent="0.55000000000000004">
      <c r="A5" s="2" t="s">
        <v>11</v>
      </c>
      <c r="B5" s="3" t="s">
        <v>12</v>
      </c>
      <c r="C5" s="4">
        <v>36.35</v>
      </c>
      <c r="D5" s="5">
        <v>50.92</v>
      </c>
      <c r="E5" s="5">
        <v>0</v>
      </c>
      <c r="F5" s="5">
        <v>2.21</v>
      </c>
      <c r="G5" s="5">
        <v>5.82</v>
      </c>
      <c r="H5" s="5">
        <v>4.7</v>
      </c>
      <c r="I5" s="4">
        <v>56.26</v>
      </c>
      <c r="J5" s="3">
        <v>43.74</v>
      </c>
      <c r="K5" s="4">
        <v>98845</v>
      </c>
      <c r="L5" s="5">
        <v>7115</v>
      </c>
      <c r="M5" s="3">
        <f t="shared" si="4"/>
        <v>91730</v>
      </c>
      <c r="N5" s="5">
        <f t="shared" si="5"/>
        <v>7.1981384996712028E-2</v>
      </c>
      <c r="O5" s="4">
        <f>ROUND($C5+MIN($D5:$E5)*(1-SUMIFS(PrefFlows!$C:$C,PrefFlows!$A:$A,INDEX($D$1:$E$1,MATCH(MIN($D5:$E5),$D5:$E5,0)),PrefFlows!$B:$B,$B5)),2)</f>
        <v>36.35</v>
      </c>
      <c r="P5" s="5">
        <f>ROUND(MAX($D5:$E5)+MIN($D5:$E5)*SUMIFS(PrefFlows!$C:$C,PrefFlows!$A:$A,INDEX($D$1:$E$1,MATCH(MIN($D5:$E5),$D5:$E5,0)),PrefFlows!$B:$B,$B5),2)</f>
        <v>50.92</v>
      </c>
      <c r="Q5" s="5">
        <f t="shared" si="6"/>
        <v>2.21</v>
      </c>
      <c r="R5" s="5">
        <f t="shared" si="7"/>
        <v>5.82</v>
      </c>
      <c r="S5" s="3">
        <f t="shared" si="8"/>
        <v>4.7</v>
      </c>
      <c r="T5" s="6">
        <f t="shared" si="9"/>
        <v>14.57</v>
      </c>
      <c r="U5" s="4">
        <f>ROUND($Q5*SUMIFS(PrefFlows!$C:$C,PrefFlows!$A:$A,$Q$1,PrefFlows!$B:$B,$B5)+$R5*SUMIFS(PrefFlows!$C:$C,PrefFlows!$A:$A,$R$1,PrefFlows!$B:$B,$B5)+$S5*SUMIFS(PrefFlows!$C:$C,PrefFlows!$A:$A,$S$1,PrefFlows!$B:$B,$B5),2)</f>
        <v>4.91</v>
      </c>
      <c r="V5" s="3">
        <f>ROUND($Q5*(1-SUMIFS(PrefFlows!$C:$C,PrefFlows!$A:$A,$Q$1,PrefFlows!$B:$B,$B5))+$R5*(1-SUMIFS(PrefFlows!$C:$C,PrefFlows!$A:$A,$R$1,PrefFlows!$B:$B,$B5))+$S5*(1-SUMIFS(PrefFlows!$C:$C,PrefFlows!$A:$A,$S$1,PrefFlows!$B:$B,$B5)),2)</f>
        <v>7.82</v>
      </c>
      <c r="W5" s="4">
        <f t="shared" si="10"/>
        <v>5.34</v>
      </c>
      <c r="X5" s="3">
        <f t="shared" si="11"/>
        <v>7.39</v>
      </c>
      <c r="Y5" s="4">
        <f t="shared" si="12"/>
        <v>0.38569999999999999</v>
      </c>
      <c r="Z5" s="5">
        <f t="shared" si="13"/>
        <v>0.41949999999999998</v>
      </c>
      <c r="AA5" s="5">
        <f t="shared" si="14"/>
        <v>3.3799999999999997E-2</v>
      </c>
      <c r="AB5" s="3">
        <v>1.6147339973308601E-2</v>
      </c>
      <c r="AC5" s="4">
        <f>ROUND(Q5*(1-(Exhaust!$B$2+AB5)),2)</f>
        <v>0.94</v>
      </c>
      <c r="AD5" s="5">
        <f>ROUND(R5*(1-(Exhaust!$B$3+$AB5)),2)</f>
        <v>3.4</v>
      </c>
      <c r="AE5" s="3">
        <f>ROUND(S5*(1-(Exhaust!$B$4+$AB5)),2)</f>
        <v>2.27</v>
      </c>
      <c r="AF5" s="4">
        <f>ROUND($AC5*(SUMIFS(PrefFlows!$C:$C,PrefFlows!$A:$A,$Q$1,PrefFlows!$B:$B,$B5)+$AA5)+$AD5*(SUMIFS(PrefFlows!$C:$C,PrefFlows!$A:$A,$R$1,PrefFlows!$B:$B,$B5)+$AA5)+$AE5*(SUMIFS(PrefFlows!$C:$C,PrefFlows!$A:$A,$S$1,PrefFlows!$B:$B,$B5)+$AA5),2)</f>
        <v>2.62</v>
      </c>
      <c r="AG5" s="3">
        <f>ROUND($AC5*(1-(SUMIFS(PrefFlows!$C:$C,PrefFlows!$A:$A,$Q$1,PrefFlows!$B:$B,$B5)+$AA5))+$AD5*(1-(SUMIFS(PrefFlows!$C:$C,PrefFlows!$A:$A,$R$1,PrefFlows!$B:$B,$B5)+$AA5))+$AE5*(1-(SUMIFS(PrefFlows!$C:$C,PrefFlows!$A:$A,$S$1,PrefFlows!$B:$B,$B5)+$AA5)),2)</f>
        <v>3.99</v>
      </c>
      <c r="AH5" s="4">
        <f t="shared" si="15"/>
        <v>53.54</v>
      </c>
      <c r="AI5" s="3">
        <f t="shared" si="16"/>
        <v>40.340000000000003</v>
      </c>
      <c r="AJ5" s="4">
        <f t="shared" si="17"/>
        <v>57.03</v>
      </c>
      <c r="AK5" s="3">
        <f t="shared" si="17"/>
        <v>42.97</v>
      </c>
      <c r="AL5" s="1">
        <f t="shared" si="0"/>
        <v>6.26</v>
      </c>
      <c r="AM5" s="1">
        <f t="shared" si="1"/>
        <v>7.19</v>
      </c>
      <c r="AN5" s="3">
        <f t="shared" si="2"/>
        <v>7.03</v>
      </c>
      <c r="AO5" s="1" t="b">
        <f t="shared" si="18"/>
        <v>0</v>
      </c>
      <c r="AP5" s="1" t="b">
        <f t="shared" si="18"/>
        <v>0</v>
      </c>
      <c r="AQ5" s="3" t="b">
        <f t="shared" si="19"/>
        <v>0</v>
      </c>
      <c r="AR5" s="1">
        <f t="shared" si="20"/>
        <v>0.9300000000000006</v>
      </c>
      <c r="AS5" s="1">
        <f t="shared" si="20"/>
        <v>0.77000000000000046</v>
      </c>
      <c r="AT5" s="3">
        <f t="shared" si="21"/>
        <v>0.16000000000000014</v>
      </c>
      <c r="AU5" s="1">
        <f>ROUND(IF($B5="NSW",L5*Meta!$B$6,L5),1)</f>
        <v>4731.5</v>
      </c>
      <c r="AV5" s="3">
        <f t="shared" si="3"/>
        <v>95170.8</v>
      </c>
    </row>
    <row r="6" spans="1:48" x14ac:dyDescent="0.55000000000000004">
      <c r="A6" s="2" t="s">
        <v>13</v>
      </c>
      <c r="B6" s="3" t="s">
        <v>7</v>
      </c>
      <c r="C6" s="4">
        <v>21.01</v>
      </c>
      <c r="D6" s="5">
        <v>57.88</v>
      </c>
      <c r="E6" s="5">
        <v>2.65</v>
      </c>
      <c r="F6" s="5">
        <v>5.92</v>
      </c>
      <c r="G6" s="5">
        <v>6.84</v>
      </c>
      <c r="H6" s="5">
        <v>5.7</v>
      </c>
      <c r="I6" s="4">
        <v>68.94</v>
      </c>
      <c r="J6" s="3">
        <v>31.06</v>
      </c>
      <c r="K6" s="4">
        <v>111893</v>
      </c>
      <c r="L6" s="5">
        <v>6227</v>
      </c>
      <c r="M6" s="3">
        <f t="shared" si="4"/>
        <v>105666</v>
      </c>
      <c r="N6" s="5">
        <f t="shared" si="5"/>
        <v>5.5651381230282501E-2</v>
      </c>
      <c r="O6" s="4">
        <f>ROUND($C6+MIN($D6:$E6)*(1-SUMIFS(PrefFlows!$C:$C,PrefFlows!$A:$A,INDEX($D$1:$E$1,MATCH(MIN($D6:$E6),$D6:$E6,0)),PrefFlows!$B:$B,$B6)),2)</f>
        <v>21.79</v>
      </c>
      <c r="P6" s="5">
        <f>ROUND(MAX($D6:$E6)+MIN($D6:$E6)*SUMIFS(PrefFlows!$C:$C,PrefFlows!$A:$A,INDEX($D$1:$E$1,MATCH(MIN($D6:$E6),$D6:$E6,0)),PrefFlows!$B:$B,$B6),2)</f>
        <v>59.75</v>
      </c>
      <c r="Q6" s="5">
        <f t="shared" si="6"/>
        <v>5.92</v>
      </c>
      <c r="R6" s="5">
        <f t="shared" si="7"/>
        <v>6.84</v>
      </c>
      <c r="S6" s="3">
        <f t="shared" si="8"/>
        <v>5.7</v>
      </c>
      <c r="T6" s="6">
        <f t="shared" si="9"/>
        <v>37.96</v>
      </c>
      <c r="U6" s="4">
        <f>ROUND($Q6*SUMIFS(PrefFlows!$C:$C,PrefFlows!$A:$A,$Q$1,PrefFlows!$B:$B,$B6)+$R6*SUMIFS(PrefFlows!$C:$C,PrefFlows!$A:$A,$R$1,PrefFlows!$B:$B,$B6)+$S6*SUMIFS(PrefFlows!$C:$C,PrefFlows!$A:$A,$S$1,PrefFlows!$B:$B,$B6),2)</f>
        <v>8.1199999999999992</v>
      </c>
      <c r="V6" s="3">
        <f>ROUND($Q6*(1-SUMIFS(PrefFlows!$C:$C,PrefFlows!$A:$A,$Q$1,PrefFlows!$B:$B,$B6))+$R6*(1-SUMIFS(PrefFlows!$C:$C,PrefFlows!$A:$A,$R$1,PrefFlows!$B:$B,$B6))+$S6*(1-SUMIFS(PrefFlows!$C:$C,PrefFlows!$A:$A,$S$1,PrefFlows!$B:$B,$B6)),2)</f>
        <v>10.34</v>
      </c>
      <c r="W6" s="4">
        <f t="shared" si="10"/>
        <v>9.19</v>
      </c>
      <c r="X6" s="3">
        <f t="shared" si="11"/>
        <v>9.27</v>
      </c>
      <c r="Y6" s="4">
        <f t="shared" si="12"/>
        <v>0.43990000000000001</v>
      </c>
      <c r="Z6" s="5">
        <f t="shared" si="13"/>
        <v>0.49780000000000002</v>
      </c>
      <c r="AA6" s="5">
        <f t="shared" si="14"/>
        <v>5.79E-2</v>
      </c>
      <c r="AB6" s="3">
        <v>2.8629530531214101E-2</v>
      </c>
      <c r="AC6" s="4">
        <f>ROUND(Q6*(1-(Exhaust!$B$2+AB6)),2)</f>
        <v>2.44</v>
      </c>
      <c r="AD6" s="5">
        <f>ROUND(R6*(1-(Exhaust!$B$3+$AB6)),2)</f>
        <v>3.91</v>
      </c>
      <c r="AE6" s="3">
        <f>ROUND(S6*(1-(Exhaust!$B$4+$AB6)),2)</f>
        <v>2.69</v>
      </c>
      <c r="AF6" s="4">
        <f>ROUND($AC6*(SUMIFS(PrefFlows!$C:$C,PrefFlows!$A:$A,$Q$1,PrefFlows!$B:$B,$B6)+$AA6)+$AD6*(SUMIFS(PrefFlows!$C:$C,PrefFlows!$A:$A,$R$1,PrefFlows!$B:$B,$B6)+$AA6)+$AE6*(SUMIFS(PrefFlows!$C:$C,PrefFlows!$A:$A,$S$1,PrefFlows!$B:$B,$B6)+$AA6),2)</f>
        <v>4.2699999999999996</v>
      </c>
      <c r="AG6" s="3">
        <f>ROUND($AC6*(1-(SUMIFS(PrefFlows!$C:$C,PrefFlows!$A:$A,$Q$1,PrefFlows!$B:$B,$B6)+$AA6))+$AD6*(1-(SUMIFS(PrefFlows!$C:$C,PrefFlows!$A:$A,$R$1,PrefFlows!$B:$B,$B6)+$AA6))+$AE6*(1-(SUMIFS(PrefFlows!$C:$C,PrefFlows!$A:$A,$S$1,PrefFlows!$B:$B,$B6)+$AA6)),2)</f>
        <v>4.7699999999999996</v>
      </c>
      <c r="AH6" s="4">
        <f t="shared" si="15"/>
        <v>64.02</v>
      </c>
      <c r="AI6" s="3">
        <f t="shared" si="16"/>
        <v>26.56</v>
      </c>
      <c r="AJ6" s="4">
        <f t="shared" si="17"/>
        <v>70.680000000000007</v>
      </c>
      <c r="AK6" s="3">
        <f t="shared" si="17"/>
        <v>29.32</v>
      </c>
      <c r="AL6" s="1">
        <f t="shared" si="0"/>
        <v>18.940000000000001</v>
      </c>
      <c r="AM6" s="1">
        <f t="shared" si="1"/>
        <v>20.8</v>
      </c>
      <c r="AN6" s="3">
        <f t="shared" si="2"/>
        <v>20.68</v>
      </c>
      <c r="AO6" s="1" t="b">
        <f t="shared" si="18"/>
        <v>0</v>
      </c>
      <c r="AP6" s="1" t="b">
        <f t="shared" si="18"/>
        <v>0</v>
      </c>
      <c r="AQ6" s="3" t="b">
        <f t="shared" si="19"/>
        <v>0</v>
      </c>
      <c r="AR6" s="1">
        <f t="shared" si="20"/>
        <v>1.8599999999999994</v>
      </c>
      <c r="AS6" s="1">
        <f t="shared" si="20"/>
        <v>1.7399999999999984</v>
      </c>
      <c r="AT6" s="3">
        <f t="shared" si="21"/>
        <v>0.12000000000000099</v>
      </c>
      <c r="AU6" s="1">
        <f>ROUND(IF($B6="NSW",L6*Meta!$B$6,L6),1)</f>
        <v>6227</v>
      </c>
      <c r="AV6" s="3">
        <f t="shared" si="3"/>
        <v>107057.5</v>
      </c>
    </row>
    <row r="7" spans="1:48" x14ac:dyDescent="0.55000000000000004">
      <c r="A7" s="2" t="s">
        <v>14</v>
      </c>
      <c r="B7" s="3" t="s">
        <v>12</v>
      </c>
      <c r="C7" s="4">
        <v>49.19</v>
      </c>
      <c r="D7" s="5">
        <v>33.49</v>
      </c>
      <c r="E7" s="5">
        <v>0</v>
      </c>
      <c r="F7" s="5">
        <v>5.95</v>
      </c>
      <c r="G7" s="5">
        <v>9.0299999999999994</v>
      </c>
      <c r="H7" s="5">
        <v>2.34</v>
      </c>
      <c r="I7" s="4">
        <v>40.590000000000003</v>
      </c>
      <c r="J7" s="3">
        <v>59.41</v>
      </c>
      <c r="K7" s="4">
        <v>99380</v>
      </c>
      <c r="L7" s="5">
        <v>9473</v>
      </c>
      <c r="M7" s="3">
        <f t="shared" si="4"/>
        <v>89907</v>
      </c>
      <c r="N7" s="5">
        <f t="shared" si="5"/>
        <v>9.5320990138860931E-2</v>
      </c>
      <c r="O7" s="4">
        <f>ROUND($C7+MIN($D7:$E7)*(1-SUMIFS(PrefFlows!$C:$C,PrefFlows!$A:$A,INDEX($D$1:$E$1,MATCH(MIN($D7:$E7),$D7:$E7,0)),PrefFlows!$B:$B,$B7)),2)</f>
        <v>49.19</v>
      </c>
      <c r="P7" s="5">
        <f>ROUND(MAX($D7:$E7)+MIN($D7:$E7)*SUMIFS(PrefFlows!$C:$C,PrefFlows!$A:$A,INDEX($D$1:$E$1,MATCH(MIN($D7:$E7),$D7:$E7,0)),PrefFlows!$B:$B,$B7),2)</f>
        <v>33.49</v>
      </c>
      <c r="Q7" s="5">
        <f t="shared" si="6"/>
        <v>5.95</v>
      </c>
      <c r="R7" s="5">
        <f t="shared" si="7"/>
        <v>9.0299999999999994</v>
      </c>
      <c r="S7" s="3">
        <f t="shared" si="8"/>
        <v>2.34</v>
      </c>
      <c r="T7" s="6">
        <f t="shared" si="9"/>
        <v>-15.7</v>
      </c>
      <c r="U7" s="4">
        <f>ROUND($Q7*SUMIFS(PrefFlows!$C:$C,PrefFlows!$A:$A,$Q$1,PrefFlows!$B:$B,$B7)+$R7*SUMIFS(PrefFlows!$C:$C,PrefFlows!$A:$A,$R$1,PrefFlows!$B:$B,$B7)+$S7*SUMIFS(PrefFlows!$C:$C,PrefFlows!$A:$A,$S$1,PrefFlows!$B:$B,$B7),2)</f>
        <v>6.66</v>
      </c>
      <c r="V7" s="3">
        <f>ROUND($Q7*(1-SUMIFS(PrefFlows!$C:$C,PrefFlows!$A:$A,$Q$1,PrefFlows!$B:$B,$B7))+$R7*(1-SUMIFS(PrefFlows!$C:$C,PrefFlows!$A:$A,$R$1,PrefFlows!$B:$B,$B7))+$S7*(1-SUMIFS(PrefFlows!$C:$C,PrefFlows!$A:$A,$S$1,PrefFlows!$B:$B,$B7)),2)</f>
        <v>10.66</v>
      </c>
      <c r="W7" s="4">
        <f t="shared" si="10"/>
        <v>7.1</v>
      </c>
      <c r="X7" s="3">
        <f t="shared" si="11"/>
        <v>10.220000000000001</v>
      </c>
      <c r="Y7" s="4">
        <f t="shared" si="12"/>
        <v>0.38450000000000001</v>
      </c>
      <c r="Z7" s="5">
        <f t="shared" si="13"/>
        <v>0.40989999999999999</v>
      </c>
      <c r="AA7" s="5">
        <f t="shared" si="14"/>
        <v>2.5399999999999999E-2</v>
      </c>
      <c r="AB7" s="3">
        <v>1.39542183519958E-2</v>
      </c>
      <c r="AC7" s="4">
        <f>ROUND(Q7*(1-(Exhaust!$B$2+AB7)),2)</f>
        <v>2.5299999999999998</v>
      </c>
      <c r="AD7" s="5">
        <f>ROUND(R7*(1-(Exhaust!$B$3+$AB7)),2)</f>
        <v>5.29</v>
      </c>
      <c r="AE7" s="3">
        <f>ROUND(S7*(1-(Exhaust!$B$4+$AB7)),2)</f>
        <v>1.1399999999999999</v>
      </c>
      <c r="AF7" s="4">
        <f>ROUND($AC7*(SUMIFS(PrefFlows!$C:$C,PrefFlows!$A:$A,$Q$1,PrefFlows!$B:$B,$B7)+$AA7)+$AD7*(SUMIFS(PrefFlows!$C:$C,PrefFlows!$A:$A,$R$1,PrefFlows!$B:$B,$B7)+$AA7)+$AE7*(SUMIFS(PrefFlows!$C:$C,PrefFlows!$A:$A,$S$1,PrefFlows!$B:$B,$B7)+$AA7),2)</f>
        <v>3.39</v>
      </c>
      <c r="AG7" s="3">
        <f>ROUND($AC7*(1-(SUMIFS(PrefFlows!$C:$C,PrefFlows!$A:$A,$Q$1,PrefFlows!$B:$B,$B7)+$AA7))+$AD7*(1-(SUMIFS(PrefFlows!$C:$C,PrefFlows!$A:$A,$R$1,PrefFlows!$B:$B,$B7)+$AA7))+$AE7*(1-(SUMIFS(PrefFlows!$C:$C,PrefFlows!$A:$A,$S$1,PrefFlows!$B:$B,$B7)+$AA7)),2)</f>
        <v>5.57</v>
      </c>
      <c r="AH7" s="4">
        <f t="shared" si="15"/>
        <v>36.880000000000003</v>
      </c>
      <c r="AI7" s="3">
        <f t="shared" si="16"/>
        <v>54.76</v>
      </c>
      <c r="AJ7" s="4">
        <f t="shared" si="17"/>
        <v>40.24</v>
      </c>
      <c r="AK7" s="3">
        <f t="shared" si="17"/>
        <v>59.76</v>
      </c>
      <c r="AL7" s="1">
        <f t="shared" si="0"/>
        <v>-9.41</v>
      </c>
      <c r="AM7" s="1">
        <f t="shared" si="1"/>
        <v>-9.4499999999999993</v>
      </c>
      <c r="AN7" s="3">
        <f t="shared" si="2"/>
        <v>-9.76</v>
      </c>
      <c r="AO7" s="1" t="b">
        <f t="shared" si="18"/>
        <v>0</v>
      </c>
      <c r="AP7" s="1" t="b">
        <f t="shared" si="18"/>
        <v>0</v>
      </c>
      <c r="AQ7" s="3" t="b">
        <f t="shared" si="19"/>
        <v>0</v>
      </c>
      <c r="AR7" s="1">
        <f t="shared" si="20"/>
        <v>-3.9999999999999147E-2</v>
      </c>
      <c r="AS7" s="1">
        <f t="shared" si="20"/>
        <v>-0.34999999999999964</v>
      </c>
      <c r="AT7" s="3">
        <f t="shared" si="21"/>
        <v>0.3100000000000005</v>
      </c>
      <c r="AU7" s="1">
        <f>ROUND(IF($B7="NSW",L7*Meta!$B$6,L7),1)</f>
        <v>6299.5</v>
      </c>
      <c r="AV7" s="3">
        <f t="shared" si="3"/>
        <v>94488.2</v>
      </c>
    </row>
    <row r="8" spans="1:48" x14ac:dyDescent="0.55000000000000004">
      <c r="A8" s="2" t="s">
        <v>15</v>
      </c>
      <c r="B8" s="3" t="s">
        <v>16</v>
      </c>
      <c r="C8" s="4">
        <v>34.74</v>
      </c>
      <c r="D8" s="5">
        <v>42.33</v>
      </c>
      <c r="E8" s="5">
        <v>1.37</v>
      </c>
      <c r="F8" s="5">
        <v>4.8600000000000003</v>
      </c>
      <c r="G8" s="5">
        <v>10.48</v>
      </c>
      <c r="H8" s="5">
        <v>6.22</v>
      </c>
      <c r="I8" s="4">
        <v>50.41</v>
      </c>
      <c r="J8" s="3">
        <v>49.59</v>
      </c>
      <c r="K8" s="4">
        <v>71973</v>
      </c>
      <c r="L8" s="5">
        <v>3240</v>
      </c>
      <c r="M8" s="3">
        <f t="shared" si="4"/>
        <v>68733</v>
      </c>
      <c r="N8" s="5">
        <f t="shared" si="5"/>
        <v>4.5016881330498935E-2</v>
      </c>
      <c r="O8" s="4">
        <f>ROUND($C8+MIN($D8:$E8)*(1-SUMIFS(PrefFlows!$C:$C,PrefFlows!$A:$A,INDEX($D$1:$E$1,MATCH(MIN($D8:$E8),$D8:$E8,0)),PrefFlows!$B:$B,$B8)),2)</f>
        <v>35.11</v>
      </c>
      <c r="P8" s="5">
        <f>ROUND(MAX($D8:$E8)+MIN($D8:$E8)*SUMIFS(PrefFlows!$C:$C,PrefFlows!$A:$A,INDEX($D$1:$E$1,MATCH(MIN($D8:$E8),$D8:$E8,0)),PrefFlows!$B:$B,$B8),2)</f>
        <v>43.33</v>
      </c>
      <c r="Q8" s="5">
        <f t="shared" si="6"/>
        <v>4.8600000000000003</v>
      </c>
      <c r="R8" s="5">
        <f t="shared" si="7"/>
        <v>10.48</v>
      </c>
      <c r="S8" s="3">
        <f t="shared" si="8"/>
        <v>6.22</v>
      </c>
      <c r="T8" s="6">
        <f t="shared" si="9"/>
        <v>8.2200000000000006</v>
      </c>
      <c r="U8" s="4">
        <f>ROUND($Q8*SUMIFS(PrefFlows!$C:$C,PrefFlows!$A:$A,$Q$1,PrefFlows!$B:$B,$B8)+$R8*SUMIFS(PrefFlows!$C:$C,PrefFlows!$A:$A,$R$1,PrefFlows!$B:$B,$B8)+$S8*SUMIFS(PrefFlows!$C:$C,PrefFlows!$A:$A,$S$1,PrefFlows!$B:$B,$B8),2)</f>
        <v>7.3</v>
      </c>
      <c r="V8" s="3">
        <f>ROUND($Q8*(1-SUMIFS(PrefFlows!$C:$C,PrefFlows!$A:$A,$Q$1,PrefFlows!$B:$B,$B8))+$R8*(1-SUMIFS(PrefFlows!$C:$C,PrefFlows!$A:$A,$R$1,PrefFlows!$B:$B,$B8))+$S8*(1-SUMIFS(PrefFlows!$C:$C,PrefFlows!$A:$A,$S$1,PrefFlows!$B:$B,$B8)),2)</f>
        <v>14.26</v>
      </c>
      <c r="W8" s="4">
        <f t="shared" si="10"/>
        <v>7.08</v>
      </c>
      <c r="X8" s="3">
        <f t="shared" si="11"/>
        <v>14.48</v>
      </c>
      <c r="Y8" s="4">
        <f t="shared" si="12"/>
        <v>0.33860000000000001</v>
      </c>
      <c r="Z8" s="5">
        <f t="shared" si="13"/>
        <v>0.32840000000000003</v>
      </c>
      <c r="AA8" s="5">
        <f t="shared" si="14"/>
        <v>-1.0200000000000001E-2</v>
      </c>
      <c r="AB8" s="3">
        <v>3.7496479500285999E-2</v>
      </c>
      <c r="AC8" s="4">
        <f>ROUND(Q8*(1-(Exhaust!$B$2+AB8)),2)</f>
        <v>1.96</v>
      </c>
      <c r="AD8" s="5">
        <f>ROUND(R8*(1-(Exhaust!$B$3+$AB8)),2)</f>
        <v>5.9</v>
      </c>
      <c r="AE8" s="3">
        <f>ROUND(S8*(1-(Exhaust!$B$4+$AB8)),2)</f>
        <v>2.88</v>
      </c>
      <c r="AF8" s="4">
        <f>ROUND($AC8*(SUMIFS(PrefFlows!$C:$C,PrefFlows!$A:$A,$Q$1,PrefFlows!$B:$B,$B8)+$AA8)+$AD8*(SUMIFS(PrefFlows!$C:$C,PrefFlows!$A:$A,$R$1,PrefFlows!$B:$B,$B8)+$AA8)+$AE8*(SUMIFS(PrefFlows!$C:$C,PrefFlows!$A:$A,$S$1,PrefFlows!$B:$B,$B8)+$AA8),2)</f>
        <v>3.23</v>
      </c>
      <c r="AG8" s="3">
        <f>ROUND($AC8*(1-(SUMIFS(PrefFlows!$C:$C,PrefFlows!$A:$A,$Q$1,PrefFlows!$B:$B,$B8)+$AA8))+$AD8*(1-(SUMIFS(PrefFlows!$C:$C,PrefFlows!$A:$A,$R$1,PrefFlows!$B:$B,$B8)+$AA8))+$AE8*(1-(SUMIFS(PrefFlows!$C:$C,PrefFlows!$A:$A,$S$1,PrefFlows!$B:$B,$B8)+$AA8)),2)</f>
        <v>7.51</v>
      </c>
      <c r="AH8" s="4">
        <f t="shared" si="15"/>
        <v>46.56</v>
      </c>
      <c r="AI8" s="3">
        <f t="shared" si="16"/>
        <v>42.62</v>
      </c>
      <c r="AJ8" s="4">
        <f t="shared" si="17"/>
        <v>52.21</v>
      </c>
      <c r="AK8" s="3">
        <f t="shared" si="17"/>
        <v>47.79</v>
      </c>
      <c r="AL8" s="1">
        <f t="shared" si="0"/>
        <v>0.41</v>
      </c>
      <c r="AM8" s="1">
        <f t="shared" si="1"/>
        <v>2.44</v>
      </c>
      <c r="AN8" s="3">
        <f t="shared" si="2"/>
        <v>2.21</v>
      </c>
      <c r="AO8" s="1" t="b">
        <f t="shared" si="18"/>
        <v>0</v>
      </c>
      <c r="AP8" s="1" t="b">
        <f t="shared" si="18"/>
        <v>0</v>
      </c>
      <c r="AQ8" s="3" t="b">
        <f t="shared" si="19"/>
        <v>0</v>
      </c>
      <c r="AR8" s="1">
        <f t="shared" si="20"/>
        <v>2.0299999999999998</v>
      </c>
      <c r="AS8" s="1">
        <f t="shared" si="20"/>
        <v>1.8</v>
      </c>
      <c r="AT8" s="3">
        <f t="shared" si="21"/>
        <v>0.22999999999999998</v>
      </c>
      <c r="AU8" s="1">
        <f>ROUND(IF($B8="NSW",L8*Meta!$B$6,L8),1)</f>
        <v>3240</v>
      </c>
      <c r="AV8" s="3">
        <f t="shared" si="3"/>
        <v>69457</v>
      </c>
    </row>
    <row r="9" spans="1:48" x14ac:dyDescent="0.55000000000000004">
      <c r="A9" s="2" t="s">
        <v>201</v>
      </c>
      <c r="B9" s="3" t="s">
        <v>35</v>
      </c>
      <c r="C9" s="4">
        <v>38.14</v>
      </c>
      <c r="D9" s="5">
        <v>31.44</v>
      </c>
      <c r="E9" s="5">
        <v>0</v>
      </c>
      <c r="F9" s="5">
        <v>2.4</v>
      </c>
      <c r="G9" s="5">
        <v>13.09</v>
      </c>
      <c r="H9" s="5">
        <v>14.93</v>
      </c>
      <c r="I9" s="4">
        <v>42.48</v>
      </c>
      <c r="J9" s="3">
        <v>57.52</v>
      </c>
      <c r="K9" s="4">
        <v>97982</v>
      </c>
      <c r="L9" s="5">
        <v>5043</v>
      </c>
      <c r="M9" s="3">
        <f t="shared" si="4"/>
        <v>92939</v>
      </c>
      <c r="N9" s="5">
        <f t="shared" si="5"/>
        <v>5.1468637096609579E-2</v>
      </c>
      <c r="O9" s="4">
        <f>ROUND($C9+MIN($D9:$E9)*(1-SUMIFS(PrefFlows!$C:$C,PrefFlows!$A:$A,INDEX($D$1:$E$1,MATCH(MIN($D9:$E9),$D9:$E9,0)),PrefFlows!$B:$B,$B9)),2)</f>
        <v>38.14</v>
      </c>
      <c r="P9" s="5">
        <f>ROUND(MAX($D9:$E9)+MIN($D9:$E9)*SUMIFS(PrefFlows!$C:$C,PrefFlows!$A:$A,INDEX($D$1:$E$1,MATCH(MIN($D9:$E9),$D9:$E9,0)),PrefFlows!$B:$B,$B9),2)</f>
        <v>31.44</v>
      </c>
      <c r="Q9" s="5">
        <f t="shared" si="6"/>
        <v>2.4</v>
      </c>
      <c r="R9" s="5">
        <f t="shared" si="7"/>
        <v>13.09</v>
      </c>
      <c r="S9" s="3">
        <f t="shared" si="8"/>
        <v>14.93</v>
      </c>
      <c r="T9" s="6">
        <f t="shared" si="9"/>
        <v>-6.7</v>
      </c>
      <c r="U9" s="4">
        <f>ROUND($Q9*SUMIFS(PrefFlows!$C:$C,PrefFlows!$A:$A,$Q$1,PrefFlows!$B:$B,$B9)+$R9*SUMIFS(PrefFlows!$C:$C,PrefFlows!$A:$A,$R$1,PrefFlows!$B:$B,$B9)+$S9*SUMIFS(PrefFlows!$C:$C,PrefFlows!$A:$A,$S$1,PrefFlows!$B:$B,$B9),2)</f>
        <v>12</v>
      </c>
      <c r="V9" s="3">
        <f>ROUND($Q9*(1-SUMIFS(PrefFlows!$C:$C,PrefFlows!$A:$A,$Q$1,PrefFlows!$B:$B,$B9))+$R9*(1-SUMIFS(PrefFlows!$C:$C,PrefFlows!$A:$A,$R$1,PrefFlows!$B:$B,$B9))+$S9*(1-SUMIFS(PrefFlows!$C:$C,PrefFlows!$A:$A,$S$1,PrefFlows!$B:$B,$B9)),2)</f>
        <v>18.420000000000002</v>
      </c>
      <c r="W9" s="4">
        <f t="shared" si="10"/>
        <v>11.04</v>
      </c>
      <c r="X9" s="3">
        <f t="shared" si="11"/>
        <v>19.38</v>
      </c>
      <c r="Y9" s="4">
        <f t="shared" si="12"/>
        <v>0.39450000000000002</v>
      </c>
      <c r="Z9" s="5">
        <f t="shared" si="13"/>
        <v>0.3629</v>
      </c>
      <c r="AA9" s="5">
        <f t="shared" si="14"/>
        <v>-3.1600000000000003E-2</v>
      </c>
      <c r="AB9" s="3">
        <v>-3.5932887145908601E-2</v>
      </c>
      <c r="AC9" s="4">
        <f>ROUND(Q9*(1-(Exhaust!$B$2+AB9)),2)</f>
        <v>1.1399999999999999</v>
      </c>
      <c r="AD9" s="5">
        <f>ROUND(R9*(1-(Exhaust!$B$3+$AB9)),2)</f>
        <v>8.32</v>
      </c>
      <c r="AE9" s="3">
        <f>ROUND(S9*(1-(Exhaust!$B$4+$AB9)),2)</f>
        <v>8</v>
      </c>
      <c r="AF9" s="4">
        <f>ROUND($AC9*(SUMIFS(PrefFlows!$C:$C,PrefFlows!$A:$A,$Q$1,PrefFlows!$B:$B,$B9)+$AA9)+$AD9*(SUMIFS(PrefFlows!$C:$C,PrefFlows!$A:$A,$R$1,PrefFlows!$B:$B,$B9)+$AA9)+$AE9*(SUMIFS(PrefFlows!$C:$C,PrefFlows!$A:$A,$S$1,PrefFlows!$B:$B,$B9)+$AA9),2)</f>
        <v>5.91</v>
      </c>
      <c r="AG9" s="3">
        <f>ROUND($AC9*(1-(SUMIFS(PrefFlows!$C:$C,PrefFlows!$A:$A,$Q$1,PrefFlows!$B:$B,$B9)+$AA9))+$AD9*(1-(SUMIFS(PrefFlows!$C:$C,PrefFlows!$A:$A,$R$1,PrefFlows!$B:$B,$B9)+$AA9))+$AE9*(1-(SUMIFS(PrefFlows!$C:$C,PrefFlows!$A:$A,$S$1,PrefFlows!$B:$B,$B9)+$AA9)),2)</f>
        <v>11.55</v>
      </c>
      <c r="AH9" s="4">
        <f t="shared" si="15"/>
        <v>37.35</v>
      </c>
      <c r="AI9" s="3">
        <f t="shared" si="16"/>
        <v>49.69</v>
      </c>
      <c r="AJ9" s="4">
        <f t="shared" si="17"/>
        <v>42.91</v>
      </c>
      <c r="AK9" s="3">
        <f t="shared" si="17"/>
        <v>57.09</v>
      </c>
      <c r="AL9" s="1">
        <f t="shared" si="0"/>
        <v>-7.52</v>
      </c>
      <c r="AM9" s="1">
        <f t="shared" si="1"/>
        <v>-6.46</v>
      </c>
      <c r="AN9" s="3">
        <f t="shared" si="2"/>
        <v>-7.09</v>
      </c>
      <c r="AO9" s="1" t="b">
        <f t="shared" si="18"/>
        <v>0</v>
      </c>
      <c r="AP9" s="1" t="b">
        <f t="shared" si="18"/>
        <v>0</v>
      </c>
      <c r="AQ9" s="3" t="b">
        <f t="shared" si="19"/>
        <v>0</v>
      </c>
      <c r="AR9" s="1">
        <f t="shared" si="20"/>
        <v>1.0599999999999996</v>
      </c>
      <c r="AS9" s="1">
        <f t="shared" si="20"/>
        <v>0.42999999999999972</v>
      </c>
      <c r="AT9" s="3">
        <f t="shared" si="21"/>
        <v>0.62999999999999989</v>
      </c>
      <c r="AU9" s="1">
        <f>ROUND(IF($B9="NSW",L9*Meta!$B$6,L9),1)</f>
        <v>5043</v>
      </c>
      <c r="AV9" s="3">
        <f t="shared" si="3"/>
        <v>94065.9</v>
      </c>
    </row>
    <row r="10" spans="1:48" x14ac:dyDescent="0.55000000000000004">
      <c r="A10" s="2" t="s">
        <v>17</v>
      </c>
      <c r="B10" s="3" t="s">
        <v>9</v>
      </c>
      <c r="C10" s="4">
        <v>43.62</v>
      </c>
      <c r="D10" s="5">
        <v>31.68</v>
      </c>
      <c r="E10" s="5">
        <v>0</v>
      </c>
      <c r="F10" s="5">
        <v>10.43</v>
      </c>
      <c r="G10" s="5">
        <v>11.2</v>
      </c>
      <c r="H10" s="5">
        <v>3.08</v>
      </c>
      <c r="I10" s="4">
        <v>40.96</v>
      </c>
      <c r="J10" s="3">
        <v>59.04</v>
      </c>
      <c r="K10" s="4">
        <v>105979</v>
      </c>
      <c r="L10" s="5">
        <v>4318</v>
      </c>
      <c r="M10" s="3">
        <f t="shared" si="4"/>
        <v>101661</v>
      </c>
      <c r="N10" s="5">
        <f t="shared" si="5"/>
        <v>4.0743920965474294E-2</v>
      </c>
      <c r="O10" s="4">
        <f>ROUND($C10+MIN($D10:$E10)*(1-SUMIFS(PrefFlows!$C:$C,PrefFlows!$A:$A,INDEX($D$1:$E$1,MATCH(MIN($D10:$E10),$D10:$E10,0)),PrefFlows!$B:$B,$B10)),2)</f>
        <v>43.62</v>
      </c>
      <c r="P10" s="5">
        <f>ROUND(MAX($D10:$E10)+MIN($D10:$E10)*SUMIFS(PrefFlows!$C:$C,PrefFlows!$A:$A,INDEX($D$1:$E$1,MATCH(MIN($D10:$E10),$D10:$E10,0)),PrefFlows!$B:$B,$B10),2)</f>
        <v>31.68</v>
      </c>
      <c r="Q10" s="5">
        <f t="shared" si="6"/>
        <v>10.43</v>
      </c>
      <c r="R10" s="5">
        <f t="shared" si="7"/>
        <v>11.2</v>
      </c>
      <c r="S10" s="3">
        <f t="shared" si="8"/>
        <v>3.08</v>
      </c>
      <c r="T10" s="6">
        <f t="shared" si="9"/>
        <v>-11.94</v>
      </c>
      <c r="U10" s="4">
        <f>ROUND($Q10*SUMIFS(PrefFlows!$C:$C,PrefFlows!$A:$A,$Q$1,PrefFlows!$B:$B,$B10)+$R10*SUMIFS(PrefFlows!$C:$C,PrefFlows!$A:$A,$R$1,PrefFlows!$B:$B,$B10)+$S10*SUMIFS(PrefFlows!$C:$C,PrefFlows!$A:$A,$S$1,PrefFlows!$B:$B,$B10),2)</f>
        <v>10.1</v>
      </c>
      <c r="V10" s="3">
        <f>ROUND($Q10*(1-SUMIFS(PrefFlows!$C:$C,PrefFlows!$A:$A,$Q$1,PrefFlows!$B:$B,$B10))+$R10*(1-SUMIFS(PrefFlows!$C:$C,PrefFlows!$A:$A,$R$1,PrefFlows!$B:$B,$B10))+$S10*(1-SUMIFS(PrefFlows!$C:$C,PrefFlows!$A:$A,$S$1,PrefFlows!$B:$B,$B10)),2)</f>
        <v>14.61</v>
      </c>
      <c r="W10" s="4">
        <f t="shared" si="10"/>
        <v>9.2799999999999994</v>
      </c>
      <c r="X10" s="3">
        <f t="shared" si="11"/>
        <v>15.42</v>
      </c>
      <c r="Y10" s="4">
        <f t="shared" si="12"/>
        <v>0.40870000000000001</v>
      </c>
      <c r="Z10" s="5">
        <f t="shared" si="13"/>
        <v>0.37569999999999998</v>
      </c>
      <c r="AA10" s="5">
        <f t="shared" si="14"/>
        <v>-3.3000000000000002E-2</v>
      </c>
      <c r="AB10" s="3">
        <v>9.14937384454622E-3</v>
      </c>
      <c r="AC10" s="4">
        <f>ROUND(Q10*(1-(Exhaust!$B$2+AB10)),2)</f>
        <v>4.49</v>
      </c>
      <c r="AD10" s="5">
        <f>ROUND(R10*(1-(Exhaust!$B$3+$AB10)),2)</f>
        <v>6.62</v>
      </c>
      <c r="AE10" s="3">
        <f>ROUND(S10*(1-(Exhaust!$B$4+$AB10)),2)</f>
        <v>1.51</v>
      </c>
      <c r="AF10" s="4">
        <f>ROUND($AC10*(SUMIFS(PrefFlows!$C:$C,PrefFlows!$A:$A,$Q$1,PrefFlows!$B:$B,$B10)+$AA10)+$AD10*(SUMIFS(PrefFlows!$C:$C,PrefFlows!$A:$A,$R$1,PrefFlows!$B:$B,$B10)+$AA10)+$AE10*(SUMIFS(PrefFlows!$C:$C,PrefFlows!$A:$A,$S$1,PrefFlows!$B:$B,$B10)+$AA10),2)</f>
        <v>4.3099999999999996</v>
      </c>
      <c r="AG10" s="3">
        <f>ROUND($AC10*(1-(SUMIFS(PrefFlows!$C:$C,PrefFlows!$A:$A,$Q$1,PrefFlows!$B:$B,$B10)+$AA10))+$AD10*(1-(SUMIFS(PrefFlows!$C:$C,PrefFlows!$A:$A,$R$1,PrefFlows!$B:$B,$B10)+$AA10))+$AE10*(1-(SUMIFS(PrefFlows!$C:$C,PrefFlows!$A:$A,$S$1,PrefFlows!$B:$B,$B10)+$AA10)),2)</f>
        <v>8.31</v>
      </c>
      <c r="AH10" s="4">
        <f t="shared" si="15"/>
        <v>35.99</v>
      </c>
      <c r="AI10" s="3">
        <f t="shared" si="16"/>
        <v>51.93</v>
      </c>
      <c r="AJ10" s="4">
        <f t="shared" si="17"/>
        <v>40.93</v>
      </c>
      <c r="AK10" s="3">
        <f t="shared" si="17"/>
        <v>59.07</v>
      </c>
      <c r="AL10" s="1">
        <f t="shared" si="0"/>
        <v>-9.0399999999999991</v>
      </c>
      <c r="AM10" s="1">
        <f t="shared" si="1"/>
        <v>-8.58</v>
      </c>
      <c r="AN10" s="3">
        <f t="shared" si="2"/>
        <v>-9.07</v>
      </c>
      <c r="AO10" s="1" t="b">
        <f t="shared" si="18"/>
        <v>0</v>
      </c>
      <c r="AP10" s="1" t="b">
        <f t="shared" si="18"/>
        <v>0</v>
      </c>
      <c r="AQ10" s="3" t="b">
        <f t="shared" si="19"/>
        <v>0</v>
      </c>
      <c r="AR10" s="1">
        <f t="shared" si="20"/>
        <v>0.45999999999999908</v>
      </c>
      <c r="AS10" s="1">
        <f t="shared" si="20"/>
        <v>-3.0000000000001137E-2</v>
      </c>
      <c r="AT10" s="3">
        <f t="shared" si="21"/>
        <v>0.49000000000000021</v>
      </c>
      <c r="AU10" s="1">
        <f>ROUND(IF($B10="NSW",L10*Meta!$B$6,L10),1)</f>
        <v>4318</v>
      </c>
      <c r="AV10" s="3">
        <f t="shared" si="3"/>
        <v>102625.9</v>
      </c>
    </row>
    <row r="11" spans="1:48" x14ac:dyDescent="0.55000000000000004">
      <c r="A11" s="2" t="s">
        <v>18</v>
      </c>
      <c r="B11" s="3" t="s">
        <v>12</v>
      </c>
      <c r="C11" s="4">
        <v>34.03</v>
      </c>
      <c r="D11" s="5">
        <v>50.82</v>
      </c>
      <c r="E11" s="5">
        <v>0</v>
      </c>
      <c r="F11" s="5">
        <v>1.96</v>
      </c>
      <c r="G11" s="5">
        <v>9.4700000000000006</v>
      </c>
      <c r="H11" s="5">
        <v>3.73</v>
      </c>
      <c r="I11" s="4">
        <v>56.91</v>
      </c>
      <c r="J11" s="3">
        <v>43.09</v>
      </c>
      <c r="K11" s="4">
        <v>101542</v>
      </c>
      <c r="L11" s="5">
        <v>5237</v>
      </c>
      <c r="M11" s="3">
        <f t="shared" si="4"/>
        <v>96305</v>
      </c>
      <c r="N11" s="5">
        <f t="shared" si="5"/>
        <v>5.1574717850741567E-2</v>
      </c>
      <c r="O11" s="4">
        <f>ROUND($C11+MIN($D11:$E11)*(1-SUMIFS(PrefFlows!$C:$C,PrefFlows!$A:$A,INDEX($D$1:$E$1,MATCH(MIN($D11:$E11),$D11:$E11,0)),PrefFlows!$B:$B,$B11)),2)</f>
        <v>34.03</v>
      </c>
      <c r="P11" s="5">
        <f>ROUND(MAX($D11:$E11)+MIN($D11:$E11)*SUMIFS(PrefFlows!$C:$C,PrefFlows!$A:$A,INDEX($D$1:$E$1,MATCH(MIN($D11:$E11),$D11:$E11,0)),PrefFlows!$B:$B,$B11),2)</f>
        <v>50.82</v>
      </c>
      <c r="Q11" s="5">
        <f t="shared" si="6"/>
        <v>1.96</v>
      </c>
      <c r="R11" s="5">
        <f t="shared" si="7"/>
        <v>9.4700000000000006</v>
      </c>
      <c r="S11" s="3">
        <f t="shared" si="8"/>
        <v>3.73</v>
      </c>
      <c r="T11" s="6">
        <f t="shared" si="9"/>
        <v>16.79</v>
      </c>
      <c r="U11" s="4">
        <f>ROUND($Q11*SUMIFS(PrefFlows!$C:$C,PrefFlows!$A:$A,$Q$1,PrefFlows!$B:$B,$B11)+$R11*SUMIFS(PrefFlows!$C:$C,PrefFlows!$A:$A,$R$1,PrefFlows!$B:$B,$B11)+$S11*SUMIFS(PrefFlows!$C:$C,PrefFlows!$A:$A,$S$1,PrefFlows!$B:$B,$B11),2)</f>
        <v>4.9000000000000004</v>
      </c>
      <c r="V11" s="3">
        <f>ROUND($Q11*(1-SUMIFS(PrefFlows!$C:$C,PrefFlows!$A:$A,$Q$1,PrefFlows!$B:$B,$B11))+$R11*(1-SUMIFS(PrefFlows!$C:$C,PrefFlows!$A:$A,$R$1,PrefFlows!$B:$B,$B11))+$S11*(1-SUMIFS(PrefFlows!$C:$C,PrefFlows!$A:$A,$S$1,PrefFlows!$B:$B,$B11)),2)</f>
        <v>10.26</v>
      </c>
      <c r="W11" s="4">
        <f t="shared" si="10"/>
        <v>6.09</v>
      </c>
      <c r="X11" s="3">
        <f t="shared" si="11"/>
        <v>9.06</v>
      </c>
      <c r="Y11" s="4">
        <f t="shared" si="12"/>
        <v>0.32319999999999999</v>
      </c>
      <c r="Z11" s="5">
        <f t="shared" si="13"/>
        <v>0.40200000000000002</v>
      </c>
      <c r="AA11" s="5">
        <f t="shared" si="14"/>
        <v>7.8799999999999995E-2</v>
      </c>
      <c r="AB11" s="3">
        <v>-2.1649902848033802E-2</v>
      </c>
      <c r="AC11" s="4">
        <f>ROUND(Q11*(1-(Exhaust!$B$2+AB11)),2)</f>
        <v>0.9</v>
      </c>
      <c r="AD11" s="5">
        <f>ROUND(R11*(1-(Exhaust!$B$3+$AB11)),2)</f>
        <v>5.89</v>
      </c>
      <c r="AE11" s="3">
        <f>ROUND(S11*(1-(Exhaust!$B$4+$AB11)),2)</f>
        <v>1.95</v>
      </c>
      <c r="AF11" s="4">
        <f>ROUND($AC11*(SUMIFS(PrefFlows!$C:$C,PrefFlows!$A:$A,$Q$1,PrefFlows!$B:$B,$B11)+$AA11)+$AD11*(SUMIFS(PrefFlows!$C:$C,PrefFlows!$A:$A,$R$1,PrefFlows!$B:$B,$B11)+$AA11)+$AE11*(SUMIFS(PrefFlows!$C:$C,PrefFlows!$A:$A,$S$1,PrefFlows!$B:$B,$B11)+$AA11),2)</f>
        <v>3.34</v>
      </c>
      <c r="AG11" s="3">
        <f>ROUND($AC11*(1-(SUMIFS(PrefFlows!$C:$C,PrefFlows!$A:$A,$Q$1,PrefFlows!$B:$B,$B11)+$AA11))+$AD11*(1-(SUMIFS(PrefFlows!$C:$C,PrefFlows!$A:$A,$R$1,PrefFlows!$B:$B,$B11)+$AA11))+$AE11*(1-(SUMIFS(PrefFlows!$C:$C,PrefFlows!$A:$A,$S$1,PrefFlows!$B:$B,$B11)+$AA11)),2)</f>
        <v>5.4</v>
      </c>
      <c r="AH11" s="4">
        <f t="shared" si="15"/>
        <v>54.16</v>
      </c>
      <c r="AI11" s="3">
        <f t="shared" si="16"/>
        <v>39.43</v>
      </c>
      <c r="AJ11" s="4">
        <f t="shared" si="17"/>
        <v>57.87</v>
      </c>
      <c r="AK11" s="3">
        <f t="shared" si="17"/>
        <v>42.13</v>
      </c>
      <c r="AL11" s="1">
        <f t="shared" si="0"/>
        <v>6.91</v>
      </c>
      <c r="AM11" s="1">
        <f t="shared" si="1"/>
        <v>8.2200000000000006</v>
      </c>
      <c r="AN11" s="3">
        <f t="shared" si="2"/>
        <v>7.87</v>
      </c>
      <c r="AO11" s="1" t="b">
        <f t="shared" si="18"/>
        <v>0</v>
      </c>
      <c r="AP11" s="1" t="b">
        <f t="shared" si="18"/>
        <v>0</v>
      </c>
      <c r="AQ11" s="3" t="b">
        <f t="shared" si="19"/>
        <v>0</v>
      </c>
      <c r="AR11" s="1">
        <f t="shared" si="20"/>
        <v>1.3100000000000005</v>
      </c>
      <c r="AS11" s="1">
        <f t="shared" si="20"/>
        <v>0.96</v>
      </c>
      <c r="AT11" s="3">
        <f t="shared" si="21"/>
        <v>0.35000000000000053</v>
      </c>
      <c r="AU11" s="1">
        <f>ROUND(IF($B11="NSW",L11*Meta!$B$6,L11),1)</f>
        <v>3482.6</v>
      </c>
      <c r="AV11" s="3">
        <f t="shared" si="3"/>
        <v>98837.6</v>
      </c>
    </row>
    <row r="12" spans="1:48" x14ac:dyDescent="0.55000000000000004">
      <c r="A12" s="2" t="s">
        <v>19</v>
      </c>
      <c r="B12" s="3" t="s">
        <v>12</v>
      </c>
      <c r="C12" s="4">
        <v>21.1</v>
      </c>
      <c r="D12" s="5">
        <v>57.2</v>
      </c>
      <c r="E12" s="5">
        <v>0</v>
      </c>
      <c r="F12" s="5">
        <v>1.68</v>
      </c>
      <c r="G12" s="5">
        <v>11.88</v>
      </c>
      <c r="H12" s="5">
        <v>8.15</v>
      </c>
      <c r="I12" s="4">
        <v>65.650000000000006</v>
      </c>
      <c r="J12" s="3">
        <v>34.35</v>
      </c>
      <c r="K12" s="4">
        <v>100370</v>
      </c>
      <c r="L12" s="5">
        <v>6423</v>
      </c>
      <c r="M12" s="3">
        <f t="shared" si="4"/>
        <v>93947</v>
      </c>
      <c r="N12" s="5">
        <f t="shared" si="5"/>
        <v>6.3993225067251164E-2</v>
      </c>
      <c r="O12" s="4">
        <f>ROUND($C12+MIN($D12:$E12)*(1-SUMIFS(PrefFlows!$C:$C,PrefFlows!$A:$A,INDEX($D$1:$E$1,MATCH(MIN($D12:$E12),$D12:$E12,0)),PrefFlows!$B:$B,$B12)),2)</f>
        <v>21.1</v>
      </c>
      <c r="P12" s="5">
        <f>ROUND(MAX($D12:$E12)+MIN($D12:$E12)*SUMIFS(PrefFlows!$C:$C,PrefFlows!$A:$A,INDEX($D$1:$E$1,MATCH(MIN($D12:$E12),$D12:$E12,0)),PrefFlows!$B:$B,$B12),2)</f>
        <v>57.2</v>
      </c>
      <c r="Q12" s="5">
        <f t="shared" si="6"/>
        <v>1.68</v>
      </c>
      <c r="R12" s="5">
        <f t="shared" si="7"/>
        <v>11.88</v>
      </c>
      <c r="S12" s="3">
        <f t="shared" si="8"/>
        <v>8.15</v>
      </c>
      <c r="T12" s="6">
        <f t="shared" si="9"/>
        <v>36.1</v>
      </c>
      <c r="U12" s="4">
        <f>ROUND($Q12*SUMIFS(PrefFlows!$C:$C,PrefFlows!$A:$A,$Q$1,PrefFlows!$B:$B,$B12)+$R12*SUMIFS(PrefFlows!$C:$C,PrefFlows!$A:$A,$R$1,PrefFlows!$B:$B,$B12)+$S12*SUMIFS(PrefFlows!$C:$C,PrefFlows!$A:$A,$S$1,PrefFlows!$B:$B,$B12),2)</f>
        <v>7.45</v>
      </c>
      <c r="V12" s="3">
        <f>ROUND($Q12*(1-SUMIFS(PrefFlows!$C:$C,PrefFlows!$A:$A,$Q$1,PrefFlows!$B:$B,$B12))+$R12*(1-SUMIFS(PrefFlows!$C:$C,PrefFlows!$A:$A,$R$1,PrefFlows!$B:$B,$B12))+$S12*(1-SUMIFS(PrefFlows!$C:$C,PrefFlows!$A:$A,$S$1,PrefFlows!$B:$B,$B12)),2)</f>
        <v>14.26</v>
      </c>
      <c r="W12" s="4">
        <f t="shared" si="10"/>
        <v>8.4499999999999993</v>
      </c>
      <c r="X12" s="3">
        <f t="shared" si="11"/>
        <v>13.25</v>
      </c>
      <c r="Y12" s="4">
        <f t="shared" si="12"/>
        <v>0.34320000000000001</v>
      </c>
      <c r="Z12" s="5">
        <f t="shared" si="13"/>
        <v>0.38940000000000002</v>
      </c>
      <c r="AA12" s="5">
        <f t="shared" si="14"/>
        <v>4.6199999999999998E-2</v>
      </c>
      <c r="AB12" s="3">
        <v>-2.03794715024018E-2</v>
      </c>
      <c r="AC12" s="4">
        <f>ROUND(Q12*(1-(Exhaust!$B$2+AB12)),2)</f>
        <v>0.77</v>
      </c>
      <c r="AD12" s="5">
        <f>ROUND(R12*(1-(Exhaust!$B$3+$AB12)),2)</f>
        <v>7.37</v>
      </c>
      <c r="AE12" s="3">
        <f>ROUND(S12*(1-(Exhaust!$B$4+$AB12)),2)</f>
        <v>4.24</v>
      </c>
      <c r="AF12" s="4">
        <f>ROUND($AC12*(SUMIFS(PrefFlows!$C:$C,PrefFlows!$A:$A,$Q$1,PrefFlows!$B:$B,$B12)+$AA12)+$AD12*(SUMIFS(PrefFlows!$C:$C,PrefFlows!$A:$A,$R$1,PrefFlows!$B:$B,$B12)+$AA12)+$AE12*(SUMIFS(PrefFlows!$C:$C,PrefFlows!$A:$A,$S$1,PrefFlows!$B:$B,$B12)+$AA12),2)</f>
        <v>4.59</v>
      </c>
      <c r="AG12" s="3">
        <f>ROUND($AC12*(1-(SUMIFS(PrefFlows!$C:$C,PrefFlows!$A:$A,$Q$1,PrefFlows!$B:$B,$B12)+$AA12))+$AD12*(1-(SUMIFS(PrefFlows!$C:$C,PrefFlows!$A:$A,$R$1,PrefFlows!$B:$B,$B12)+$AA12))+$AE12*(1-(SUMIFS(PrefFlows!$C:$C,PrefFlows!$A:$A,$S$1,PrefFlows!$B:$B,$B12)+$AA12)),2)</f>
        <v>7.79</v>
      </c>
      <c r="AH12" s="4">
        <f t="shared" si="15"/>
        <v>61.79</v>
      </c>
      <c r="AI12" s="3">
        <f t="shared" si="16"/>
        <v>28.89</v>
      </c>
      <c r="AJ12" s="4">
        <f t="shared" si="17"/>
        <v>68.14</v>
      </c>
      <c r="AK12" s="3">
        <f t="shared" si="17"/>
        <v>31.86</v>
      </c>
      <c r="AL12" s="1">
        <f t="shared" si="0"/>
        <v>15.65</v>
      </c>
      <c r="AM12" s="1">
        <f t="shared" si="1"/>
        <v>18.760000000000002</v>
      </c>
      <c r="AN12" s="3">
        <f t="shared" si="2"/>
        <v>18.14</v>
      </c>
      <c r="AO12" s="1" t="b">
        <f t="shared" si="18"/>
        <v>0</v>
      </c>
      <c r="AP12" s="1" t="b">
        <f t="shared" si="18"/>
        <v>0</v>
      </c>
      <c r="AQ12" s="3" t="b">
        <f t="shared" si="19"/>
        <v>0</v>
      </c>
      <c r="AR12" s="1">
        <f t="shared" si="20"/>
        <v>3.1100000000000012</v>
      </c>
      <c r="AS12" s="1">
        <f t="shared" si="20"/>
        <v>2.4900000000000002</v>
      </c>
      <c r="AT12" s="3">
        <f t="shared" si="21"/>
        <v>0.62000000000000099</v>
      </c>
      <c r="AU12" s="1">
        <f>ROUND(IF($B12="NSW",L12*Meta!$B$6,L12),1)</f>
        <v>4271.3</v>
      </c>
      <c r="AV12" s="3">
        <f t="shared" si="3"/>
        <v>97053.2</v>
      </c>
    </row>
    <row r="13" spans="1:48" x14ac:dyDescent="0.55000000000000004">
      <c r="A13" s="2" t="s">
        <v>20</v>
      </c>
      <c r="B13" s="3" t="s">
        <v>21</v>
      </c>
      <c r="C13" s="4">
        <v>31.26</v>
      </c>
      <c r="D13" s="5">
        <v>29.03</v>
      </c>
      <c r="E13" s="5">
        <v>0</v>
      </c>
      <c r="F13" s="5">
        <v>20.2</v>
      </c>
      <c r="G13" s="5">
        <v>8.68</v>
      </c>
      <c r="H13" s="5">
        <v>10.84</v>
      </c>
      <c r="I13" s="4">
        <v>48.79</v>
      </c>
      <c r="J13" s="3">
        <v>51.21</v>
      </c>
      <c r="K13" s="4">
        <v>103690</v>
      </c>
      <c r="L13" s="5">
        <v>7765</v>
      </c>
      <c r="M13" s="3">
        <f t="shared" si="4"/>
        <v>95925</v>
      </c>
      <c r="N13" s="5">
        <f t="shared" si="5"/>
        <v>7.4886681454335038E-2</v>
      </c>
      <c r="O13" s="4">
        <f>ROUND($C13+MIN($D13:$E13)*(1-SUMIFS(PrefFlows!$C:$C,PrefFlows!$A:$A,INDEX($D$1:$E$1,MATCH(MIN($D13:$E13),$D13:$E13,0)),PrefFlows!$B:$B,$B13)),2)</f>
        <v>31.26</v>
      </c>
      <c r="P13" s="5">
        <f>ROUND(MAX($D13:$E13)+MIN($D13:$E13)*SUMIFS(PrefFlows!$C:$C,PrefFlows!$A:$A,INDEX($D$1:$E$1,MATCH(MIN($D13:$E13),$D13:$E13,0)),PrefFlows!$B:$B,$B13),2)</f>
        <v>29.03</v>
      </c>
      <c r="Q13" s="5">
        <f t="shared" si="6"/>
        <v>20.2</v>
      </c>
      <c r="R13" s="5">
        <f t="shared" si="7"/>
        <v>8.68</v>
      </c>
      <c r="S13" s="3">
        <f t="shared" si="8"/>
        <v>10.84</v>
      </c>
      <c r="T13" s="6">
        <f t="shared" si="9"/>
        <v>-2.23</v>
      </c>
      <c r="U13" s="4">
        <f>ROUND($Q13*SUMIFS(PrefFlows!$C:$C,PrefFlows!$A:$A,$Q$1,PrefFlows!$B:$B,$B13)+$R13*SUMIFS(PrefFlows!$C:$C,PrefFlows!$A:$A,$R$1,PrefFlows!$B:$B,$B13)+$S13*SUMIFS(PrefFlows!$C:$C,PrefFlows!$A:$A,$S$1,PrefFlows!$B:$B,$B13),2)</f>
        <v>20.9</v>
      </c>
      <c r="V13" s="3">
        <f>ROUND($Q13*(1-SUMIFS(PrefFlows!$C:$C,PrefFlows!$A:$A,$Q$1,PrefFlows!$B:$B,$B13))+$R13*(1-SUMIFS(PrefFlows!$C:$C,PrefFlows!$A:$A,$R$1,PrefFlows!$B:$B,$B13))+$S13*(1-SUMIFS(PrefFlows!$C:$C,PrefFlows!$A:$A,$S$1,PrefFlows!$B:$B,$B13)),2)</f>
        <v>18.82</v>
      </c>
      <c r="W13" s="4">
        <f t="shared" si="10"/>
        <v>19.760000000000002</v>
      </c>
      <c r="X13" s="3">
        <f t="shared" si="11"/>
        <v>19.95</v>
      </c>
      <c r="Y13" s="4">
        <f t="shared" si="12"/>
        <v>0.5262</v>
      </c>
      <c r="Z13" s="5">
        <f t="shared" si="13"/>
        <v>0.49759999999999999</v>
      </c>
      <c r="AA13" s="5">
        <f t="shared" si="14"/>
        <v>-2.86E-2</v>
      </c>
      <c r="AB13" s="3">
        <v>4.2854727444798499E-2</v>
      </c>
      <c r="AC13" s="4">
        <f>ROUND(Q13*(1-(Exhaust!$B$2+AB13)),2)</f>
        <v>8.02</v>
      </c>
      <c r="AD13" s="5">
        <f>ROUND(R13*(1-(Exhaust!$B$3+$AB13)),2)</f>
        <v>4.84</v>
      </c>
      <c r="AE13" s="3">
        <f>ROUND(S13*(1-(Exhaust!$B$4+$AB13)),2)</f>
        <v>4.96</v>
      </c>
      <c r="AF13" s="4">
        <f>ROUND($AC13*(SUMIFS(PrefFlows!$C:$C,PrefFlows!$A:$A,$Q$1,PrefFlows!$B:$B,$B13)+$AA13)+$AD13*(SUMIFS(PrefFlows!$C:$C,PrefFlows!$A:$A,$R$1,PrefFlows!$B:$B,$B13)+$AA13)+$AE13*(SUMIFS(PrefFlows!$C:$C,PrefFlows!$A:$A,$S$1,PrefFlows!$B:$B,$B13)+$AA13),2)</f>
        <v>8.4</v>
      </c>
      <c r="AG13" s="3">
        <f>ROUND($AC13*(1-(SUMIFS(PrefFlows!$C:$C,PrefFlows!$A:$A,$Q$1,PrefFlows!$B:$B,$B13)+$AA13))+$AD13*(1-(SUMIFS(PrefFlows!$C:$C,PrefFlows!$A:$A,$R$1,PrefFlows!$B:$B,$B13)+$AA13))+$AE13*(1-(SUMIFS(PrefFlows!$C:$C,PrefFlows!$A:$A,$S$1,PrefFlows!$B:$B,$B13)+$AA13)),2)</f>
        <v>9.42</v>
      </c>
      <c r="AH13" s="4">
        <f t="shared" si="15"/>
        <v>37.43</v>
      </c>
      <c r="AI13" s="3">
        <f t="shared" si="16"/>
        <v>40.68</v>
      </c>
      <c r="AJ13" s="4">
        <f t="shared" si="17"/>
        <v>47.92</v>
      </c>
      <c r="AK13" s="3">
        <f t="shared" si="17"/>
        <v>52.08</v>
      </c>
      <c r="AL13" s="1">
        <f t="shared" si="0"/>
        <v>-1.21</v>
      </c>
      <c r="AM13" s="1">
        <f t="shared" si="1"/>
        <v>-1.44</v>
      </c>
      <c r="AN13" s="3">
        <f t="shared" si="2"/>
        <v>-2.08</v>
      </c>
      <c r="AO13" s="1" t="b">
        <f t="shared" si="18"/>
        <v>0</v>
      </c>
      <c r="AP13" s="1" t="b">
        <f t="shared" si="18"/>
        <v>0</v>
      </c>
      <c r="AQ13" s="3" t="b">
        <f t="shared" si="19"/>
        <v>0</v>
      </c>
      <c r="AR13" s="1">
        <f t="shared" si="20"/>
        <v>-0.22999999999999998</v>
      </c>
      <c r="AS13" s="1">
        <f t="shared" si="20"/>
        <v>-0.87000000000000011</v>
      </c>
      <c r="AT13" s="3">
        <f t="shared" si="21"/>
        <v>0.64000000000000012</v>
      </c>
      <c r="AU13" s="1">
        <f>ROUND(IF($B13="NSW",L13*Meta!$B$6,L13),1)</f>
        <v>7765</v>
      </c>
      <c r="AV13" s="3">
        <f t="shared" si="3"/>
        <v>97660.2</v>
      </c>
    </row>
    <row r="14" spans="1:48" x14ac:dyDescent="0.55000000000000004">
      <c r="A14" s="2" t="s">
        <v>22</v>
      </c>
      <c r="B14" s="3" t="s">
        <v>12</v>
      </c>
      <c r="C14" s="4">
        <v>57.78</v>
      </c>
      <c r="D14" s="5">
        <v>28.82</v>
      </c>
      <c r="E14" s="5">
        <v>0</v>
      </c>
      <c r="F14" s="5">
        <v>2.88</v>
      </c>
      <c r="G14" s="5">
        <v>5.36</v>
      </c>
      <c r="H14" s="5">
        <v>5.16</v>
      </c>
      <c r="I14" s="4">
        <v>35.28</v>
      </c>
      <c r="J14" s="3">
        <v>64.72</v>
      </c>
      <c r="K14" s="4">
        <v>93209</v>
      </c>
      <c r="L14" s="5">
        <v>12401</v>
      </c>
      <c r="M14" s="3">
        <f t="shared" si="4"/>
        <v>80808</v>
      </c>
      <c r="N14" s="5">
        <f t="shared" si="5"/>
        <v>0.13304509221212543</v>
      </c>
      <c r="O14" s="4">
        <f>ROUND($C14+MIN($D14:$E14)*(1-SUMIFS(PrefFlows!$C:$C,PrefFlows!$A:$A,INDEX($D$1:$E$1,MATCH(MIN($D14:$E14),$D14:$E14,0)),PrefFlows!$B:$B,$B14)),2)</f>
        <v>57.78</v>
      </c>
      <c r="P14" s="5">
        <f>ROUND(MAX($D14:$E14)+MIN($D14:$E14)*SUMIFS(PrefFlows!$C:$C,PrefFlows!$A:$A,INDEX($D$1:$E$1,MATCH(MIN($D14:$E14),$D14:$E14,0)),PrefFlows!$B:$B,$B14),2)</f>
        <v>28.82</v>
      </c>
      <c r="Q14" s="5">
        <f t="shared" si="6"/>
        <v>2.88</v>
      </c>
      <c r="R14" s="5">
        <f t="shared" si="7"/>
        <v>5.36</v>
      </c>
      <c r="S14" s="3">
        <f t="shared" si="8"/>
        <v>5.16</v>
      </c>
      <c r="T14" s="6">
        <f t="shared" si="9"/>
        <v>-28.96</v>
      </c>
      <c r="U14" s="4">
        <f>ROUND($Q14*SUMIFS(PrefFlows!$C:$C,PrefFlows!$A:$A,$Q$1,PrefFlows!$B:$B,$B14)+$R14*SUMIFS(PrefFlows!$C:$C,PrefFlows!$A:$A,$R$1,PrefFlows!$B:$B,$B14)+$S14*SUMIFS(PrefFlows!$C:$C,PrefFlows!$A:$A,$S$1,PrefFlows!$B:$B,$B14),2)</f>
        <v>5.5</v>
      </c>
      <c r="V14" s="3">
        <f>ROUND($Q14*(1-SUMIFS(PrefFlows!$C:$C,PrefFlows!$A:$A,$Q$1,PrefFlows!$B:$B,$B14))+$R14*(1-SUMIFS(PrefFlows!$C:$C,PrefFlows!$A:$A,$R$1,PrefFlows!$B:$B,$B14))+$S14*(1-SUMIFS(PrefFlows!$C:$C,PrefFlows!$A:$A,$S$1,PrefFlows!$B:$B,$B14)),2)</f>
        <v>7.9</v>
      </c>
      <c r="W14" s="4">
        <f t="shared" si="10"/>
        <v>6.46</v>
      </c>
      <c r="X14" s="3">
        <f t="shared" si="11"/>
        <v>6.94</v>
      </c>
      <c r="Y14" s="4">
        <f t="shared" si="12"/>
        <v>0.41039999999999999</v>
      </c>
      <c r="Z14" s="5">
        <f t="shared" si="13"/>
        <v>0.48209999999999997</v>
      </c>
      <c r="AA14" s="5">
        <f t="shared" si="14"/>
        <v>7.17E-2</v>
      </c>
      <c r="AB14" s="3">
        <v>4.7162161370506599E-2</v>
      </c>
      <c r="AC14" s="4">
        <f>ROUND(Q14*(1-(Exhaust!$B$2+AB14)),2)</f>
        <v>1.1299999999999999</v>
      </c>
      <c r="AD14" s="5">
        <f>ROUND(R14*(1-(Exhaust!$B$3+$AB14)),2)</f>
        <v>2.96</v>
      </c>
      <c r="AE14" s="3">
        <f>ROUND(S14*(1-(Exhaust!$B$4+$AB14)),2)</f>
        <v>2.34</v>
      </c>
      <c r="AF14" s="4">
        <f>ROUND($AC14*(SUMIFS(PrefFlows!$C:$C,PrefFlows!$A:$A,$Q$1,PrefFlows!$B:$B,$B14)+$AA14)+$AD14*(SUMIFS(PrefFlows!$C:$C,PrefFlows!$A:$A,$R$1,PrefFlows!$B:$B,$B14)+$AA14)+$AE14*(SUMIFS(PrefFlows!$C:$C,PrefFlows!$A:$A,$S$1,PrefFlows!$B:$B,$B14)+$AA14),2)</f>
        <v>2.94</v>
      </c>
      <c r="AG14" s="3">
        <f>ROUND($AC14*(1-(SUMIFS(PrefFlows!$C:$C,PrefFlows!$A:$A,$Q$1,PrefFlows!$B:$B,$B14)+$AA14))+$AD14*(1-(SUMIFS(PrefFlows!$C:$C,PrefFlows!$A:$A,$R$1,PrefFlows!$B:$B,$B14)+$AA14))+$AE14*(1-(SUMIFS(PrefFlows!$C:$C,PrefFlows!$A:$A,$S$1,PrefFlows!$B:$B,$B14)+$AA14)),2)</f>
        <v>3.49</v>
      </c>
      <c r="AH14" s="4">
        <f t="shared" si="15"/>
        <v>31.76</v>
      </c>
      <c r="AI14" s="3">
        <f t="shared" si="16"/>
        <v>61.27</v>
      </c>
      <c r="AJ14" s="4">
        <f t="shared" si="17"/>
        <v>34.14</v>
      </c>
      <c r="AK14" s="3">
        <f t="shared" si="17"/>
        <v>65.86</v>
      </c>
      <c r="AL14" s="1">
        <f t="shared" si="0"/>
        <v>-14.72</v>
      </c>
      <c r="AM14" s="1">
        <f t="shared" si="1"/>
        <v>-15.61</v>
      </c>
      <c r="AN14" s="3">
        <f t="shared" si="2"/>
        <v>-15.86</v>
      </c>
      <c r="AO14" s="1" t="b">
        <f t="shared" si="18"/>
        <v>0</v>
      </c>
      <c r="AP14" s="1" t="b">
        <f t="shared" si="18"/>
        <v>0</v>
      </c>
      <c r="AQ14" s="3" t="b">
        <f t="shared" si="19"/>
        <v>0</v>
      </c>
      <c r="AR14" s="1">
        <f t="shared" si="20"/>
        <v>-0.88999999999999879</v>
      </c>
      <c r="AS14" s="1">
        <f t="shared" si="20"/>
        <v>-1.1399999999999988</v>
      </c>
      <c r="AT14" s="3">
        <f t="shared" si="21"/>
        <v>0.25</v>
      </c>
      <c r="AU14" s="1">
        <f>ROUND(IF($B14="NSW",L14*Meta!$B$6,L14),1)</f>
        <v>8246.7000000000007</v>
      </c>
      <c r="AV14" s="3">
        <f t="shared" si="3"/>
        <v>86805.1</v>
      </c>
    </row>
    <row r="15" spans="1:48" x14ac:dyDescent="0.55000000000000004">
      <c r="A15" s="2" t="s">
        <v>23</v>
      </c>
      <c r="B15" s="3" t="s">
        <v>21</v>
      </c>
      <c r="C15" s="4">
        <v>31.1</v>
      </c>
      <c r="D15" s="5">
        <v>49.49</v>
      </c>
      <c r="E15" s="5">
        <v>0</v>
      </c>
      <c r="F15" s="5">
        <v>6.55</v>
      </c>
      <c r="G15" s="5">
        <v>11.69</v>
      </c>
      <c r="H15" s="5">
        <v>1.17</v>
      </c>
      <c r="I15" s="4">
        <v>57.41</v>
      </c>
      <c r="J15" s="3">
        <v>42.59</v>
      </c>
      <c r="K15" s="4">
        <v>97027</v>
      </c>
      <c r="L15" s="5">
        <v>2840</v>
      </c>
      <c r="M15" s="3">
        <f t="shared" si="4"/>
        <v>94187</v>
      </c>
      <c r="N15" s="5">
        <f t="shared" si="5"/>
        <v>2.9270203139332349E-2</v>
      </c>
      <c r="O15" s="4">
        <f>ROUND($C15+MIN($D15:$E15)*(1-SUMIFS(PrefFlows!$C:$C,PrefFlows!$A:$A,INDEX($D$1:$E$1,MATCH(MIN($D15:$E15),$D15:$E15,0)),PrefFlows!$B:$B,$B15)),2)</f>
        <v>31.1</v>
      </c>
      <c r="P15" s="5">
        <f>ROUND(MAX($D15:$E15)+MIN($D15:$E15)*SUMIFS(PrefFlows!$C:$C,PrefFlows!$A:$A,INDEX($D$1:$E$1,MATCH(MIN($D15:$E15),$D15:$E15,0)),PrefFlows!$B:$B,$B15),2)</f>
        <v>49.49</v>
      </c>
      <c r="Q15" s="5">
        <f t="shared" si="6"/>
        <v>6.55</v>
      </c>
      <c r="R15" s="5">
        <f t="shared" si="7"/>
        <v>11.69</v>
      </c>
      <c r="S15" s="3">
        <f t="shared" si="8"/>
        <v>1.17</v>
      </c>
      <c r="T15" s="6">
        <f t="shared" si="9"/>
        <v>18.39</v>
      </c>
      <c r="U15" s="4">
        <f>ROUND($Q15*SUMIFS(PrefFlows!$C:$C,PrefFlows!$A:$A,$Q$1,PrefFlows!$B:$B,$B15)+$R15*SUMIFS(PrefFlows!$C:$C,PrefFlows!$A:$A,$R$1,PrefFlows!$B:$B,$B15)+$S15*SUMIFS(PrefFlows!$C:$C,PrefFlows!$A:$A,$S$1,PrefFlows!$B:$B,$B15),2)</f>
        <v>7.41</v>
      </c>
      <c r="V15" s="3">
        <f>ROUND($Q15*(1-SUMIFS(PrefFlows!$C:$C,PrefFlows!$A:$A,$Q$1,PrefFlows!$B:$B,$B15))+$R15*(1-SUMIFS(PrefFlows!$C:$C,PrefFlows!$A:$A,$R$1,PrefFlows!$B:$B,$B15))+$S15*(1-SUMIFS(PrefFlows!$C:$C,PrefFlows!$A:$A,$S$1,PrefFlows!$B:$B,$B15)),2)</f>
        <v>12</v>
      </c>
      <c r="W15" s="4">
        <f t="shared" si="10"/>
        <v>7.92</v>
      </c>
      <c r="X15" s="3">
        <f t="shared" si="11"/>
        <v>11.49</v>
      </c>
      <c r="Y15" s="4">
        <f t="shared" si="12"/>
        <v>0.38179999999999997</v>
      </c>
      <c r="Z15" s="5">
        <f t="shared" si="13"/>
        <v>0.40799999999999997</v>
      </c>
      <c r="AA15" s="5">
        <f t="shared" si="14"/>
        <v>2.6200000000000001E-2</v>
      </c>
      <c r="AB15" s="3">
        <v>6.76570196947196E-3</v>
      </c>
      <c r="AC15" s="4">
        <f>ROUND(Q15*(1-(Exhaust!$B$2+AB15)),2)</f>
        <v>2.84</v>
      </c>
      <c r="AD15" s="5">
        <f>ROUND(R15*(1-(Exhaust!$B$3+$AB15)),2)</f>
        <v>6.93</v>
      </c>
      <c r="AE15" s="3">
        <f>ROUND(S15*(1-(Exhaust!$B$4+$AB15)),2)</f>
        <v>0.57999999999999996</v>
      </c>
      <c r="AF15" s="4">
        <f>ROUND($AC15*(SUMIFS(PrefFlows!$C:$C,PrefFlows!$A:$A,$Q$1,PrefFlows!$B:$B,$B15)+$AA15)+$AD15*(SUMIFS(PrefFlows!$C:$C,PrefFlows!$A:$A,$R$1,PrefFlows!$B:$B,$B15)+$AA15)+$AE15*(SUMIFS(PrefFlows!$C:$C,PrefFlows!$A:$A,$S$1,PrefFlows!$B:$B,$B15)+$AA15),2)</f>
        <v>3.9</v>
      </c>
      <c r="AG15" s="3">
        <f>ROUND($AC15*(1-(SUMIFS(PrefFlows!$C:$C,PrefFlows!$A:$A,$Q$1,PrefFlows!$B:$B,$B15)+$AA15))+$AD15*(1-(SUMIFS(PrefFlows!$C:$C,PrefFlows!$A:$A,$R$1,PrefFlows!$B:$B,$B15)+$AA15))+$AE15*(1-(SUMIFS(PrefFlows!$C:$C,PrefFlows!$A:$A,$S$1,PrefFlows!$B:$B,$B15)+$AA15)),2)</f>
        <v>6.45</v>
      </c>
      <c r="AH15" s="4">
        <f t="shared" si="15"/>
        <v>53.39</v>
      </c>
      <c r="AI15" s="3">
        <f t="shared" si="16"/>
        <v>37.549999999999997</v>
      </c>
      <c r="AJ15" s="4">
        <f t="shared" si="17"/>
        <v>58.71</v>
      </c>
      <c r="AK15" s="3">
        <f t="shared" si="17"/>
        <v>41.29</v>
      </c>
      <c r="AL15" s="1">
        <f t="shared" si="0"/>
        <v>7.41</v>
      </c>
      <c r="AM15" s="1">
        <f t="shared" si="1"/>
        <v>9.1199999999999992</v>
      </c>
      <c r="AN15" s="3">
        <f t="shared" si="2"/>
        <v>8.7100000000000009</v>
      </c>
      <c r="AO15" s="1" t="b">
        <f t="shared" si="18"/>
        <v>0</v>
      </c>
      <c r="AP15" s="1" t="b">
        <f t="shared" si="18"/>
        <v>0</v>
      </c>
      <c r="AQ15" s="3" t="b">
        <f t="shared" si="19"/>
        <v>0</v>
      </c>
      <c r="AR15" s="1">
        <f t="shared" si="20"/>
        <v>1.7099999999999991</v>
      </c>
      <c r="AS15" s="1">
        <f t="shared" si="20"/>
        <v>1.3000000000000007</v>
      </c>
      <c r="AT15" s="3">
        <f t="shared" si="21"/>
        <v>0.40999999999999837</v>
      </c>
      <c r="AU15" s="1">
        <f>ROUND(IF($B15="NSW",L15*Meta!$B$6,L15),1)</f>
        <v>2840</v>
      </c>
      <c r="AV15" s="3">
        <f t="shared" si="3"/>
        <v>94821.6</v>
      </c>
    </row>
    <row r="16" spans="1:48" x14ac:dyDescent="0.55000000000000004">
      <c r="A16" s="2" t="s">
        <v>24</v>
      </c>
      <c r="B16" s="3" t="s">
        <v>7</v>
      </c>
      <c r="C16" s="4">
        <v>34.630000000000003</v>
      </c>
      <c r="D16" s="5">
        <v>45.19</v>
      </c>
      <c r="E16" s="5">
        <v>0</v>
      </c>
      <c r="F16" s="5">
        <v>1.89</v>
      </c>
      <c r="G16" s="5">
        <v>11.96</v>
      </c>
      <c r="H16" s="5">
        <v>6.32</v>
      </c>
      <c r="I16" s="4">
        <v>51.38</v>
      </c>
      <c r="J16" s="3">
        <v>48.62</v>
      </c>
      <c r="K16" s="4">
        <v>116030</v>
      </c>
      <c r="L16" s="5">
        <v>5453</v>
      </c>
      <c r="M16" s="3">
        <f t="shared" si="4"/>
        <v>110577</v>
      </c>
      <c r="N16" s="5">
        <f t="shared" si="5"/>
        <v>4.6996466431095403E-2</v>
      </c>
      <c r="O16" s="4">
        <f>ROUND($C16+MIN($D16:$E16)*(1-SUMIFS(PrefFlows!$C:$C,PrefFlows!$A:$A,INDEX($D$1:$E$1,MATCH(MIN($D16:$E16),$D16:$E16,0)),PrefFlows!$B:$B,$B16)),2)</f>
        <v>34.630000000000003</v>
      </c>
      <c r="P16" s="5">
        <f>ROUND(MAX($D16:$E16)+MIN($D16:$E16)*SUMIFS(PrefFlows!$C:$C,PrefFlows!$A:$A,INDEX($D$1:$E$1,MATCH(MIN($D16:$E16),$D16:$E16,0)),PrefFlows!$B:$B,$B16),2)</f>
        <v>45.19</v>
      </c>
      <c r="Q16" s="5">
        <f t="shared" si="6"/>
        <v>1.89</v>
      </c>
      <c r="R16" s="5">
        <f t="shared" si="7"/>
        <v>11.96</v>
      </c>
      <c r="S16" s="3">
        <f t="shared" si="8"/>
        <v>6.32</v>
      </c>
      <c r="T16" s="6">
        <f t="shared" si="9"/>
        <v>10.56</v>
      </c>
      <c r="U16" s="4">
        <f>ROUND($Q16*SUMIFS(PrefFlows!$C:$C,PrefFlows!$A:$A,$Q$1,PrefFlows!$B:$B,$B16)+$R16*SUMIFS(PrefFlows!$C:$C,PrefFlows!$A:$A,$R$1,PrefFlows!$B:$B,$B16)+$S16*SUMIFS(PrefFlows!$C:$C,PrefFlows!$A:$A,$S$1,PrefFlows!$B:$B,$B16),2)</f>
        <v>6.93</v>
      </c>
      <c r="V16" s="3">
        <f>ROUND($Q16*(1-SUMIFS(PrefFlows!$C:$C,PrefFlows!$A:$A,$Q$1,PrefFlows!$B:$B,$B16))+$R16*(1-SUMIFS(PrefFlows!$C:$C,PrefFlows!$A:$A,$R$1,PrefFlows!$B:$B,$B16))+$S16*(1-SUMIFS(PrefFlows!$C:$C,PrefFlows!$A:$A,$S$1,PrefFlows!$B:$B,$B16)),2)</f>
        <v>13.24</v>
      </c>
      <c r="W16" s="4">
        <f t="shared" si="10"/>
        <v>6.19</v>
      </c>
      <c r="X16" s="3">
        <f t="shared" si="11"/>
        <v>13.99</v>
      </c>
      <c r="Y16" s="4">
        <f t="shared" si="12"/>
        <v>0.34360000000000002</v>
      </c>
      <c r="Z16" s="5">
        <f t="shared" si="13"/>
        <v>0.30669999999999997</v>
      </c>
      <c r="AA16" s="5">
        <f t="shared" si="14"/>
        <v>-3.6900000000000002E-2</v>
      </c>
      <c r="AB16" s="3">
        <v>-2.0799214428156399E-2</v>
      </c>
      <c r="AC16" s="4">
        <f>ROUND(Q16*(1-(Exhaust!$B$2+AB16)),2)</f>
        <v>0.87</v>
      </c>
      <c r="AD16" s="5">
        <f>ROUND(R16*(1-(Exhaust!$B$3+$AB16)),2)</f>
        <v>7.42</v>
      </c>
      <c r="AE16" s="3">
        <f>ROUND(S16*(1-(Exhaust!$B$4+$AB16)),2)</f>
        <v>3.29</v>
      </c>
      <c r="AF16" s="4">
        <f>ROUND($AC16*(SUMIFS(PrefFlows!$C:$C,PrefFlows!$A:$A,$Q$1,PrefFlows!$B:$B,$B16)+$AA16)+$AD16*(SUMIFS(PrefFlows!$C:$C,PrefFlows!$A:$A,$R$1,PrefFlows!$B:$B,$B16)+$AA16)+$AE16*(SUMIFS(PrefFlows!$C:$C,PrefFlows!$A:$A,$S$1,PrefFlows!$B:$B,$B16)+$AA16),2)</f>
        <v>3.35</v>
      </c>
      <c r="AG16" s="3">
        <f>ROUND($AC16*(1-(SUMIFS(PrefFlows!$C:$C,PrefFlows!$A:$A,$Q$1,PrefFlows!$B:$B,$B16)+$AA16))+$AD16*(1-(SUMIFS(PrefFlows!$C:$C,PrefFlows!$A:$A,$R$1,PrefFlows!$B:$B,$B16)+$AA16))+$AE16*(1-(SUMIFS(PrefFlows!$C:$C,PrefFlows!$A:$A,$S$1,PrefFlows!$B:$B,$B16)+$AA16)),2)</f>
        <v>8.23</v>
      </c>
      <c r="AH16" s="4">
        <f t="shared" si="15"/>
        <v>48.54</v>
      </c>
      <c r="AI16" s="3">
        <f t="shared" si="16"/>
        <v>42.86</v>
      </c>
      <c r="AJ16" s="4">
        <f t="shared" si="17"/>
        <v>53.11</v>
      </c>
      <c r="AK16" s="3">
        <f t="shared" si="17"/>
        <v>46.89</v>
      </c>
      <c r="AL16" s="1">
        <f t="shared" si="0"/>
        <v>1.38</v>
      </c>
      <c r="AM16" s="1">
        <f t="shared" si="1"/>
        <v>3.6</v>
      </c>
      <c r="AN16" s="3">
        <f t="shared" si="2"/>
        <v>3.11</v>
      </c>
      <c r="AO16" s="1" t="b">
        <f t="shared" si="18"/>
        <v>0</v>
      </c>
      <c r="AP16" s="1" t="b">
        <f t="shared" si="18"/>
        <v>0</v>
      </c>
      <c r="AQ16" s="3" t="b">
        <f t="shared" si="19"/>
        <v>0</v>
      </c>
      <c r="AR16" s="1">
        <f t="shared" si="20"/>
        <v>2.2200000000000002</v>
      </c>
      <c r="AS16" s="1">
        <f t="shared" si="20"/>
        <v>1.73</v>
      </c>
      <c r="AT16" s="3">
        <f t="shared" si="21"/>
        <v>0.49000000000000021</v>
      </c>
      <c r="AU16" s="1">
        <f>ROUND(IF($B16="NSW",L16*Meta!$B$6,L16),1)</f>
        <v>5453</v>
      </c>
      <c r="AV16" s="3">
        <f t="shared" si="3"/>
        <v>111795.6</v>
      </c>
    </row>
    <row r="17" spans="1:48" x14ac:dyDescent="0.55000000000000004">
      <c r="A17" s="2" t="s">
        <v>25</v>
      </c>
      <c r="B17" s="3" t="s">
        <v>21</v>
      </c>
      <c r="C17" s="4">
        <v>26.59</v>
      </c>
      <c r="D17" s="5">
        <v>48.67</v>
      </c>
      <c r="E17" s="5">
        <v>0</v>
      </c>
      <c r="F17" s="5">
        <v>10.9</v>
      </c>
      <c r="G17" s="5">
        <v>11.99</v>
      </c>
      <c r="H17" s="5">
        <v>1.85</v>
      </c>
      <c r="I17" s="4">
        <v>60.24</v>
      </c>
      <c r="J17" s="3">
        <v>39.76</v>
      </c>
      <c r="K17" s="4">
        <v>101804</v>
      </c>
      <c r="L17" s="5">
        <v>3465</v>
      </c>
      <c r="M17" s="3">
        <f t="shared" si="4"/>
        <v>98339</v>
      </c>
      <c r="N17" s="5">
        <f t="shared" si="5"/>
        <v>3.403599072727987E-2</v>
      </c>
      <c r="O17" s="4">
        <f>ROUND($C17+MIN($D17:$E17)*(1-SUMIFS(PrefFlows!$C:$C,PrefFlows!$A:$A,INDEX($D$1:$E$1,MATCH(MIN($D17:$E17),$D17:$E17,0)),PrefFlows!$B:$B,$B17)),2)</f>
        <v>26.59</v>
      </c>
      <c r="P17" s="5">
        <f>ROUND(MAX($D17:$E17)+MIN($D17:$E17)*SUMIFS(PrefFlows!$C:$C,PrefFlows!$A:$A,INDEX($D$1:$E$1,MATCH(MIN($D17:$E17),$D17:$E17,0)),PrefFlows!$B:$B,$B17),2)</f>
        <v>48.67</v>
      </c>
      <c r="Q17" s="5">
        <f t="shared" si="6"/>
        <v>10.9</v>
      </c>
      <c r="R17" s="5">
        <f t="shared" si="7"/>
        <v>11.99</v>
      </c>
      <c r="S17" s="3">
        <f t="shared" si="8"/>
        <v>1.85</v>
      </c>
      <c r="T17" s="6">
        <f t="shared" si="9"/>
        <v>22.08</v>
      </c>
      <c r="U17" s="4">
        <f>ROUND($Q17*SUMIFS(PrefFlows!$C:$C,PrefFlows!$A:$A,$Q$1,PrefFlows!$B:$B,$B17)+$R17*SUMIFS(PrefFlows!$C:$C,PrefFlows!$A:$A,$R$1,PrefFlows!$B:$B,$B17)+$S17*SUMIFS(PrefFlows!$C:$C,PrefFlows!$A:$A,$S$1,PrefFlows!$B:$B,$B17),2)</f>
        <v>10.75</v>
      </c>
      <c r="V17" s="3">
        <f>ROUND($Q17*(1-SUMIFS(PrefFlows!$C:$C,PrefFlows!$A:$A,$Q$1,PrefFlows!$B:$B,$B17))+$R17*(1-SUMIFS(PrefFlows!$C:$C,PrefFlows!$A:$A,$R$1,PrefFlows!$B:$B,$B17))+$S17*(1-SUMIFS(PrefFlows!$C:$C,PrefFlows!$A:$A,$S$1,PrefFlows!$B:$B,$B17)),2)</f>
        <v>13.99</v>
      </c>
      <c r="W17" s="4">
        <f t="shared" si="10"/>
        <v>11.57</v>
      </c>
      <c r="X17" s="3">
        <f t="shared" si="11"/>
        <v>13.17</v>
      </c>
      <c r="Y17" s="4">
        <f t="shared" si="12"/>
        <v>0.4345</v>
      </c>
      <c r="Z17" s="5">
        <f t="shared" si="13"/>
        <v>0.4677</v>
      </c>
      <c r="AA17" s="5">
        <f t="shared" si="14"/>
        <v>3.32E-2</v>
      </c>
      <c r="AB17" s="3">
        <v>2.25243537817564E-2</v>
      </c>
      <c r="AC17" s="4">
        <f>ROUND(Q17*(1-(Exhaust!$B$2+AB17)),2)</f>
        <v>4.55</v>
      </c>
      <c r="AD17" s="5">
        <f>ROUND(R17*(1-(Exhaust!$B$3+$AB17)),2)</f>
        <v>6.92</v>
      </c>
      <c r="AE17" s="3">
        <f>ROUND(S17*(1-(Exhaust!$B$4+$AB17)),2)</f>
        <v>0.88</v>
      </c>
      <c r="AF17" s="4">
        <f>ROUND($AC17*(SUMIFS(PrefFlows!$C:$C,PrefFlows!$A:$A,$Q$1,PrefFlows!$B:$B,$B17)+$AA17)+$AD17*(SUMIFS(PrefFlows!$C:$C,PrefFlows!$A:$A,$R$1,PrefFlows!$B:$B,$B17)+$AA17)+$AE17*(SUMIFS(PrefFlows!$C:$C,PrefFlows!$A:$A,$S$1,PrefFlows!$B:$B,$B17)+$AA17),2)</f>
        <v>5.35</v>
      </c>
      <c r="AG17" s="3">
        <f>ROUND($AC17*(1-(SUMIFS(PrefFlows!$C:$C,PrefFlows!$A:$A,$Q$1,PrefFlows!$B:$B,$B17)+$AA17))+$AD17*(1-(SUMIFS(PrefFlows!$C:$C,PrefFlows!$A:$A,$R$1,PrefFlows!$B:$B,$B17)+$AA17))+$AE17*(1-(SUMIFS(PrefFlows!$C:$C,PrefFlows!$A:$A,$S$1,PrefFlows!$B:$B,$B17)+$AA17)),2)</f>
        <v>7</v>
      </c>
      <c r="AH17" s="4">
        <f t="shared" si="15"/>
        <v>54.02</v>
      </c>
      <c r="AI17" s="3">
        <f t="shared" si="16"/>
        <v>33.590000000000003</v>
      </c>
      <c r="AJ17" s="4">
        <f t="shared" si="17"/>
        <v>61.66</v>
      </c>
      <c r="AK17" s="3">
        <f t="shared" si="17"/>
        <v>38.340000000000003</v>
      </c>
      <c r="AL17" s="1">
        <f t="shared" si="0"/>
        <v>10.24</v>
      </c>
      <c r="AM17" s="1">
        <f t="shared" si="1"/>
        <v>12.06</v>
      </c>
      <c r="AN17" s="3">
        <f t="shared" si="2"/>
        <v>11.66</v>
      </c>
      <c r="AO17" s="1" t="b">
        <f t="shared" si="18"/>
        <v>0</v>
      </c>
      <c r="AP17" s="1" t="b">
        <f t="shared" si="18"/>
        <v>0</v>
      </c>
      <c r="AQ17" s="3" t="b">
        <f t="shared" si="19"/>
        <v>0</v>
      </c>
      <c r="AR17" s="1">
        <f t="shared" si="20"/>
        <v>1.8200000000000003</v>
      </c>
      <c r="AS17" s="1">
        <f t="shared" si="20"/>
        <v>1.42</v>
      </c>
      <c r="AT17" s="3">
        <f t="shared" si="21"/>
        <v>0.40000000000000036</v>
      </c>
      <c r="AU17" s="1">
        <f>ROUND(IF($B17="NSW",L17*Meta!$B$6,L17),1)</f>
        <v>3465</v>
      </c>
      <c r="AV17" s="3">
        <f t="shared" si="3"/>
        <v>99113.3</v>
      </c>
    </row>
    <row r="18" spans="1:48" x14ac:dyDescent="0.55000000000000004">
      <c r="A18" s="2" t="s">
        <v>26</v>
      </c>
      <c r="B18" s="3" t="s">
        <v>16</v>
      </c>
      <c r="C18" s="4">
        <v>32.06</v>
      </c>
      <c r="D18" s="5">
        <v>37.89</v>
      </c>
      <c r="E18" s="5">
        <v>2.36</v>
      </c>
      <c r="F18" s="5">
        <v>9.2200000000000006</v>
      </c>
      <c r="G18" s="5">
        <v>4.84</v>
      </c>
      <c r="H18" s="5">
        <v>13.63</v>
      </c>
      <c r="I18" s="4">
        <v>53.09</v>
      </c>
      <c r="J18" s="3">
        <v>46.91</v>
      </c>
      <c r="K18" s="4">
        <v>75303</v>
      </c>
      <c r="L18" s="5">
        <v>5330</v>
      </c>
      <c r="M18" s="3">
        <f t="shared" si="4"/>
        <v>69973</v>
      </c>
      <c r="N18" s="5">
        <f t="shared" si="5"/>
        <v>7.0780712587811906E-2</v>
      </c>
      <c r="O18" s="4">
        <f>ROUND($C18+MIN($D18:$E18)*(1-SUMIFS(PrefFlows!$C:$C,PrefFlows!$A:$A,INDEX($D$1:$E$1,MATCH(MIN($D18:$E18),$D18:$E18,0)),PrefFlows!$B:$B,$B18)),2)</f>
        <v>32.700000000000003</v>
      </c>
      <c r="P18" s="5">
        <f>ROUND(MAX($D18:$E18)+MIN($D18:$E18)*SUMIFS(PrefFlows!$C:$C,PrefFlows!$A:$A,INDEX($D$1:$E$1,MATCH(MIN($D18:$E18),$D18:$E18,0)),PrefFlows!$B:$B,$B18),2)</f>
        <v>39.61</v>
      </c>
      <c r="Q18" s="5">
        <f t="shared" si="6"/>
        <v>9.2200000000000006</v>
      </c>
      <c r="R18" s="5">
        <f t="shared" si="7"/>
        <v>4.84</v>
      </c>
      <c r="S18" s="3">
        <f t="shared" si="8"/>
        <v>13.63</v>
      </c>
      <c r="T18" s="6">
        <f t="shared" si="9"/>
        <v>6.91</v>
      </c>
      <c r="U18" s="4">
        <f>ROUND($Q18*SUMIFS(PrefFlows!$C:$C,PrefFlows!$A:$A,$Q$1,PrefFlows!$B:$B,$B18)+$R18*SUMIFS(PrefFlows!$C:$C,PrefFlows!$A:$A,$R$1,PrefFlows!$B:$B,$B18)+$S18*SUMIFS(PrefFlows!$C:$C,PrefFlows!$A:$A,$S$1,PrefFlows!$B:$B,$B18),2)</f>
        <v>13.05</v>
      </c>
      <c r="V18" s="3">
        <f>ROUND($Q18*(1-SUMIFS(PrefFlows!$C:$C,PrefFlows!$A:$A,$Q$1,PrefFlows!$B:$B,$B18))+$R18*(1-SUMIFS(PrefFlows!$C:$C,PrefFlows!$A:$A,$R$1,PrefFlows!$B:$B,$B18))+$S18*(1-SUMIFS(PrefFlows!$C:$C,PrefFlows!$A:$A,$S$1,PrefFlows!$B:$B,$B18)),2)</f>
        <v>14.64</v>
      </c>
      <c r="W18" s="4">
        <f t="shared" si="10"/>
        <v>13.48</v>
      </c>
      <c r="X18" s="3">
        <f t="shared" si="11"/>
        <v>14.21</v>
      </c>
      <c r="Y18" s="4">
        <f t="shared" si="12"/>
        <v>0.4713</v>
      </c>
      <c r="Z18" s="5">
        <f t="shared" si="13"/>
        <v>0.48680000000000001</v>
      </c>
      <c r="AA18" s="5">
        <f t="shared" si="14"/>
        <v>1.55E-2</v>
      </c>
      <c r="AB18" s="3">
        <v>4.3810836067746002E-2</v>
      </c>
      <c r="AC18" s="4">
        <f>ROUND(Q18*(1-(Exhaust!$B$2+AB18)),2)</f>
        <v>3.65</v>
      </c>
      <c r="AD18" s="5">
        <f>ROUND(R18*(1-(Exhaust!$B$3+$AB18)),2)</f>
        <v>2.69</v>
      </c>
      <c r="AE18" s="3">
        <f>ROUND(S18*(1-(Exhaust!$B$4+$AB18)),2)</f>
        <v>6.22</v>
      </c>
      <c r="AF18" s="4">
        <f>ROUND($AC18*(SUMIFS(PrefFlows!$C:$C,PrefFlows!$A:$A,$Q$1,PrefFlows!$B:$B,$B18)+$AA18)+$AD18*(SUMIFS(PrefFlows!$C:$C,PrefFlows!$A:$A,$R$1,PrefFlows!$B:$B,$B18)+$AA18)+$AE18*(SUMIFS(PrefFlows!$C:$C,PrefFlows!$A:$A,$S$1,PrefFlows!$B:$B,$B18)+$AA18),2)</f>
        <v>5.9</v>
      </c>
      <c r="AG18" s="3">
        <f>ROUND($AC18*(1-(SUMIFS(PrefFlows!$C:$C,PrefFlows!$A:$A,$Q$1,PrefFlows!$B:$B,$B18)+$AA18))+$AD18*(1-(SUMIFS(PrefFlows!$C:$C,PrefFlows!$A:$A,$R$1,PrefFlows!$B:$B,$B18)+$AA18))+$AE18*(1-(SUMIFS(PrefFlows!$C:$C,PrefFlows!$A:$A,$S$1,PrefFlows!$B:$B,$B18)+$AA18)),2)</f>
        <v>6.66</v>
      </c>
      <c r="AH18" s="4">
        <f t="shared" si="15"/>
        <v>45.51</v>
      </c>
      <c r="AI18" s="3">
        <f t="shared" si="16"/>
        <v>39.36</v>
      </c>
      <c r="AJ18" s="4">
        <f t="shared" si="17"/>
        <v>53.62</v>
      </c>
      <c r="AK18" s="3">
        <f t="shared" si="17"/>
        <v>46.38</v>
      </c>
      <c r="AL18" s="1">
        <f t="shared" si="0"/>
        <v>3.09</v>
      </c>
      <c r="AM18" s="1">
        <f t="shared" si="1"/>
        <v>3.77</v>
      </c>
      <c r="AN18" s="3">
        <f t="shared" si="2"/>
        <v>3.62</v>
      </c>
      <c r="AO18" s="1" t="b">
        <f t="shared" si="18"/>
        <v>0</v>
      </c>
      <c r="AP18" s="1" t="b">
        <f t="shared" si="18"/>
        <v>0</v>
      </c>
      <c r="AQ18" s="3" t="b">
        <f t="shared" si="19"/>
        <v>0</v>
      </c>
      <c r="AR18" s="1">
        <f t="shared" si="20"/>
        <v>0.68000000000000016</v>
      </c>
      <c r="AS18" s="1">
        <f t="shared" si="20"/>
        <v>0.53000000000000025</v>
      </c>
      <c r="AT18" s="3">
        <f t="shared" si="21"/>
        <v>0.14999999999999991</v>
      </c>
      <c r="AU18" s="1">
        <f>ROUND(IF($B18="NSW",L18*Meta!$B$6,L18),1)</f>
        <v>5330</v>
      </c>
      <c r="AV18" s="3">
        <f t="shared" si="3"/>
        <v>71164.100000000006</v>
      </c>
    </row>
    <row r="19" spans="1:48" x14ac:dyDescent="0.55000000000000004">
      <c r="A19" s="2" t="s">
        <v>27</v>
      </c>
      <c r="B19" s="3" t="s">
        <v>12</v>
      </c>
      <c r="C19" s="4">
        <v>21.18</v>
      </c>
      <c r="D19" s="5">
        <v>60.33</v>
      </c>
      <c r="E19" s="5">
        <v>0</v>
      </c>
      <c r="F19" s="5">
        <v>1.84</v>
      </c>
      <c r="G19" s="5">
        <v>13.71</v>
      </c>
      <c r="H19" s="5">
        <v>2.94</v>
      </c>
      <c r="I19" s="4">
        <v>66.56</v>
      </c>
      <c r="J19" s="3">
        <v>33.44</v>
      </c>
      <c r="K19" s="4">
        <v>100199</v>
      </c>
      <c r="L19" s="5">
        <v>4056</v>
      </c>
      <c r="M19" s="3">
        <f t="shared" si="4"/>
        <v>96143</v>
      </c>
      <c r="N19" s="5">
        <f t="shared" si="5"/>
        <v>4.0479445902653718E-2</v>
      </c>
      <c r="O19" s="4">
        <f>ROUND($C19+MIN($D19:$E19)*(1-SUMIFS(PrefFlows!$C:$C,PrefFlows!$A:$A,INDEX($D$1:$E$1,MATCH(MIN($D19:$E19),$D19:$E19,0)),PrefFlows!$B:$B,$B19)),2)</f>
        <v>21.18</v>
      </c>
      <c r="P19" s="5">
        <f>ROUND(MAX($D19:$E19)+MIN($D19:$E19)*SUMIFS(PrefFlows!$C:$C,PrefFlows!$A:$A,INDEX($D$1:$E$1,MATCH(MIN($D19:$E19),$D19:$E19,0)),PrefFlows!$B:$B,$B19),2)</f>
        <v>60.33</v>
      </c>
      <c r="Q19" s="5">
        <f t="shared" si="6"/>
        <v>1.84</v>
      </c>
      <c r="R19" s="5">
        <f t="shared" si="7"/>
        <v>13.71</v>
      </c>
      <c r="S19" s="3">
        <f t="shared" si="8"/>
        <v>2.94</v>
      </c>
      <c r="T19" s="6">
        <f t="shared" si="9"/>
        <v>39.15</v>
      </c>
      <c r="U19" s="4">
        <f>ROUND($Q19*SUMIFS(PrefFlows!$C:$C,PrefFlows!$A:$A,$Q$1,PrefFlows!$B:$B,$B19)+$R19*SUMIFS(PrefFlows!$C:$C,PrefFlows!$A:$A,$R$1,PrefFlows!$B:$B,$B19)+$S19*SUMIFS(PrefFlows!$C:$C,PrefFlows!$A:$A,$S$1,PrefFlows!$B:$B,$B19),2)</f>
        <v>5.16</v>
      </c>
      <c r="V19" s="3">
        <f>ROUND($Q19*(1-SUMIFS(PrefFlows!$C:$C,PrefFlows!$A:$A,$Q$1,PrefFlows!$B:$B,$B19))+$R19*(1-SUMIFS(PrefFlows!$C:$C,PrefFlows!$A:$A,$R$1,PrefFlows!$B:$B,$B19))+$S19*(1-SUMIFS(PrefFlows!$C:$C,PrefFlows!$A:$A,$S$1,PrefFlows!$B:$B,$B19)),2)</f>
        <v>13.33</v>
      </c>
      <c r="W19" s="4">
        <f t="shared" si="10"/>
        <v>6.23</v>
      </c>
      <c r="X19" s="3">
        <f t="shared" si="11"/>
        <v>12.26</v>
      </c>
      <c r="Y19" s="4">
        <f t="shared" si="12"/>
        <v>0.27910000000000001</v>
      </c>
      <c r="Z19" s="5">
        <f t="shared" si="13"/>
        <v>0.33689999999999998</v>
      </c>
      <c r="AA19" s="5">
        <f t="shared" si="14"/>
        <v>5.7799999999999997E-2</v>
      </c>
      <c r="AB19" s="3">
        <v>-2.7376215206238501E-2</v>
      </c>
      <c r="AC19" s="4">
        <f>ROUND(Q19*(1-(Exhaust!$B$2+AB19)),2)</f>
        <v>0.86</v>
      </c>
      <c r="AD19" s="5">
        <f>ROUND(R19*(1-(Exhaust!$B$3+$AB19)),2)</f>
        <v>8.6</v>
      </c>
      <c r="AE19" s="3">
        <f>ROUND(S19*(1-(Exhaust!$B$4+$AB19)),2)</f>
        <v>1.55</v>
      </c>
      <c r="AF19" s="4">
        <f>ROUND($AC19*(SUMIFS(PrefFlows!$C:$C,PrefFlows!$A:$A,$Q$1,PrefFlows!$B:$B,$B19)+$AA19)+$AD19*(SUMIFS(PrefFlows!$C:$C,PrefFlows!$A:$A,$R$1,PrefFlows!$B:$B,$B19)+$AA19)+$AE19*(SUMIFS(PrefFlows!$C:$C,PrefFlows!$A:$A,$S$1,PrefFlows!$B:$B,$B19)+$AA19),2)</f>
        <v>3.53</v>
      </c>
      <c r="AG19" s="3">
        <f>ROUND($AC19*(1-(SUMIFS(PrefFlows!$C:$C,PrefFlows!$A:$A,$Q$1,PrefFlows!$B:$B,$B19)+$AA19))+$AD19*(1-(SUMIFS(PrefFlows!$C:$C,PrefFlows!$A:$A,$R$1,PrefFlows!$B:$B,$B19)+$AA19))+$AE19*(1-(SUMIFS(PrefFlows!$C:$C,PrefFlows!$A:$A,$S$1,PrefFlows!$B:$B,$B19)+$AA19)),2)</f>
        <v>7.48</v>
      </c>
      <c r="AH19" s="4">
        <f t="shared" si="15"/>
        <v>63.86</v>
      </c>
      <c r="AI19" s="3">
        <f t="shared" si="16"/>
        <v>28.66</v>
      </c>
      <c r="AJ19" s="4">
        <f t="shared" si="17"/>
        <v>69.02</v>
      </c>
      <c r="AK19" s="3">
        <f t="shared" si="17"/>
        <v>30.98</v>
      </c>
      <c r="AL19" s="1">
        <f t="shared" si="0"/>
        <v>16.559999999999999</v>
      </c>
      <c r="AM19" s="1">
        <f t="shared" si="1"/>
        <v>19.760000000000002</v>
      </c>
      <c r="AN19" s="3">
        <f t="shared" si="2"/>
        <v>19.02</v>
      </c>
      <c r="AO19" s="1" t="b">
        <f t="shared" si="18"/>
        <v>0</v>
      </c>
      <c r="AP19" s="1" t="b">
        <f t="shared" si="18"/>
        <v>0</v>
      </c>
      <c r="AQ19" s="3" t="b">
        <f t="shared" si="19"/>
        <v>0</v>
      </c>
      <c r="AR19" s="1">
        <f t="shared" si="20"/>
        <v>3.2000000000000028</v>
      </c>
      <c r="AS19" s="1">
        <f t="shared" si="20"/>
        <v>2.4600000000000009</v>
      </c>
      <c r="AT19" s="3">
        <f t="shared" si="21"/>
        <v>0.74000000000000199</v>
      </c>
      <c r="AU19" s="1">
        <f>ROUND(IF($B19="NSW",L19*Meta!$B$6,L19),1)</f>
        <v>2697.2</v>
      </c>
      <c r="AV19" s="3">
        <f t="shared" si="3"/>
        <v>98104.5</v>
      </c>
    </row>
    <row r="20" spans="1:48" x14ac:dyDescent="0.55000000000000004">
      <c r="A20" s="2" t="s">
        <v>28</v>
      </c>
      <c r="B20" s="3" t="s">
        <v>29</v>
      </c>
      <c r="C20" s="4">
        <v>40.380000000000003</v>
      </c>
      <c r="D20" s="5">
        <v>29.84</v>
      </c>
      <c r="E20" s="5">
        <v>0</v>
      </c>
      <c r="F20" s="5">
        <v>11.36</v>
      </c>
      <c r="G20" s="5">
        <v>11.1</v>
      </c>
      <c r="H20" s="5">
        <v>7.32</v>
      </c>
      <c r="I20" s="4">
        <v>43.34</v>
      </c>
      <c r="J20" s="3">
        <v>56.66</v>
      </c>
      <c r="K20" s="4">
        <v>94769</v>
      </c>
      <c r="L20" s="5">
        <v>5928</v>
      </c>
      <c r="M20" s="3">
        <f t="shared" si="4"/>
        <v>88841</v>
      </c>
      <c r="N20" s="5">
        <f t="shared" si="5"/>
        <v>6.2552100370374272E-2</v>
      </c>
      <c r="O20" s="4">
        <f>ROUND($C20+MIN($D20:$E20)*(1-SUMIFS(PrefFlows!$C:$C,PrefFlows!$A:$A,INDEX($D$1:$E$1,MATCH(MIN($D20:$E20),$D20:$E20,0)),PrefFlows!$B:$B,$B20)),2)</f>
        <v>40.380000000000003</v>
      </c>
      <c r="P20" s="5">
        <f>ROUND(MAX($D20:$E20)+MIN($D20:$E20)*SUMIFS(PrefFlows!$C:$C,PrefFlows!$A:$A,INDEX($D$1:$E$1,MATCH(MIN($D20:$E20),$D20:$E20,0)),PrefFlows!$B:$B,$B20),2)</f>
        <v>29.84</v>
      </c>
      <c r="Q20" s="5">
        <f t="shared" si="6"/>
        <v>11.36</v>
      </c>
      <c r="R20" s="5">
        <f t="shared" si="7"/>
        <v>11.1</v>
      </c>
      <c r="S20" s="3">
        <f t="shared" si="8"/>
        <v>7.32</v>
      </c>
      <c r="T20" s="6">
        <f t="shared" si="9"/>
        <v>-10.54</v>
      </c>
      <c r="U20" s="4">
        <f>ROUND($Q20*SUMIFS(PrefFlows!$C:$C,PrefFlows!$A:$A,$Q$1,PrefFlows!$B:$B,$B20)+$R20*SUMIFS(PrefFlows!$C:$C,PrefFlows!$A:$A,$R$1,PrefFlows!$B:$B,$B20)+$S20*SUMIFS(PrefFlows!$C:$C,PrefFlows!$A:$A,$S$1,PrefFlows!$B:$B,$B20),2)</f>
        <v>13.3</v>
      </c>
      <c r="V20" s="3">
        <f>ROUND($Q20*(1-SUMIFS(PrefFlows!$C:$C,PrefFlows!$A:$A,$Q$1,PrefFlows!$B:$B,$B20))+$R20*(1-SUMIFS(PrefFlows!$C:$C,PrefFlows!$A:$A,$R$1,PrefFlows!$B:$B,$B20))+$S20*(1-SUMIFS(PrefFlows!$C:$C,PrefFlows!$A:$A,$S$1,PrefFlows!$B:$B,$B20)),2)</f>
        <v>16.48</v>
      </c>
      <c r="W20" s="4">
        <f t="shared" si="10"/>
        <v>13.5</v>
      </c>
      <c r="X20" s="3">
        <f t="shared" si="11"/>
        <v>16.28</v>
      </c>
      <c r="Y20" s="4">
        <f t="shared" si="12"/>
        <v>0.4466</v>
      </c>
      <c r="Z20" s="5">
        <f t="shared" si="13"/>
        <v>0.45329999999999998</v>
      </c>
      <c r="AA20" s="5">
        <f t="shared" si="14"/>
        <v>6.7000000000000002E-3</v>
      </c>
      <c r="AB20" s="3">
        <v>4.7981321575094098E-2</v>
      </c>
      <c r="AC20" s="4">
        <f>ROUND(Q20*(1-(Exhaust!$B$2+AB20)),2)</f>
        <v>4.45</v>
      </c>
      <c r="AD20" s="5">
        <f>ROUND(R20*(1-(Exhaust!$B$3+$AB20)),2)</f>
        <v>6.13</v>
      </c>
      <c r="AE20" s="3">
        <f>ROUND(S20*(1-(Exhaust!$B$4+$AB20)),2)</f>
        <v>3.31</v>
      </c>
      <c r="AF20" s="4">
        <f>ROUND($AC20*(SUMIFS(PrefFlows!$C:$C,PrefFlows!$A:$A,$Q$1,PrefFlows!$B:$B,$B20)+$AA20)+$AD20*(SUMIFS(PrefFlows!$C:$C,PrefFlows!$A:$A,$R$1,PrefFlows!$B:$B,$B20)+$AA20)+$AE20*(SUMIFS(PrefFlows!$C:$C,PrefFlows!$A:$A,$S$1,PrefFlows!$B:$B,$B20)+$AA20),2)</f>
        <v>5.9</v>
      </c>
      <c r="AG20" s="3">
        <f>ROUND($AC20*(1-(SUMIFS(PrefFlows!$C:$C,PrefFlows!$A:$A,$Q$1,PrefFlows!$B:$B,$B20)+$AA20))+$AD20*(1-(SUMIFS(PrefFlows!$C:$C,PrefFlows!$A:$A,$R$1,PrefFlows!$B:$B,$B20)+$AA20))+$AE20*(1-(SUMIFS(PrefFlows!$C:$C,PrefFlows!$A:$A,$S$1,PrefFlows!$B:$B,$B20)+$AA20)),2)</f>
        <v>7.99</v>
      </c>
      <c r="AH20" s="4">
        <f t="shared" si="15"/>
        <v>35.74</v>
      </c>
      <c r="AI20" s="3">
        <f t="shared" si="16"/>
        <v>48.37</v>
      </c>
      <c r="AJ20" s="4">
        <f t="shared" si="17"/>
        <v>42.49</v>
      </c>
      <c r="AK20" s="3">
        <f t="shared" si="17"/>
        <v>57.51</v>
      </c>
      <c r="AL20" s="1">
        <f t="shared" si="0"/>
        <v>-6.66</v>
      </c>
      <c r="AM20" s="1">
        <f t="shared" si="1"/>
        <v>-6.99</v>
      </c>
      <c r="AN20" s="3">
        <f t="shared" si="2"/>
        <v>-7.51</v>
      </c>
      <c r="AO20" s="1" t="b">
        <f t="shared" si="18"/>
        <v>0</v>
      </c>
      <c r="AP20" s="1" t="b">
        <f t="shared" si="18"/>
        <v>0</v>
      </c>
      <c r="AQ20" s="3" t="b">
        <f t="shared" si="19"/>
        <v>0</v>
      </c>
      <c r="AR20" s="1">
        <f t="shared" si="20"/>
        <v>-0.33000000000000007</v>
      </c>
      <c r="AS20" s="1">
        <f t="shared" si="20"/>
        <v>-0.84999999999999964</v>
      </c>
      <c r="AT20" s="3">
        <f t="shared" si="21"/>
        <v>0.51999999999999957</v>
      </c>
      <c r="AU20" s="1">
        <f>ROUND(IF($B20="NSW",L20*Meta!$B$6,L20),1)</f>
        <v>5928</v>
      </c>
      <c r="AV20" s="3">
        <f t="shared" si="3"/>
        <v>90165.7</v>
      </c>
    </row>
    <row r="21" spans="1:48" x14ac:dyDescent="0.55000000000000004">
      <c r="A21" s="2" t="s">
        <v>30</v>
      </c>
      <c r="B21" s="3" t="s">
        <v>21</v>
      </c>
      <c r="C21" s="4">
        <v>24.49</v>
      </c>
      <c r="D21" s="5">
        <v>47.84</v>
      </c>
      <c r="E21" s="5">
        <v>0</v>
      </c>
      <c r="F21" s="5">
        <v>3.88</v>
      </c>
      <c r="G21" s="5">
        <v>22.37</v>
      </c>
      <c r="H21" s="5">
        <v>1.42</v>
      </c>
      <c r="I21" s="4">
        <v>54.92</v>
      </c>
      <c r="J21" s="3">
        <v>45.08</v>
      </c>
      <c r="K21" s="4">
        <v>104588</v>
      </c>
      <c r="L21" s="5">
        <v>2631</v>
      </c>
      <c r="M21" s="3">
        <f t="shared" si="4"/>
        <v>101957</v>
      </c>
      <c r="N21" s="5">
        <f t="shared" si="5"/>
        <v>2.5155849619459211E-2</v>
      </c>
      <c r="O21" s="4">
        <f>ROUND($C21+MIN($D21:$E21)*(1-SUMIFS(PrefFlows!$C:$C,PrefFlows!$A:$A,INDEX($D$1:$E$1,MATCH(MIN($D21:$E21),$D21:$E21,0)),PrefFlows!$B:$B,$B21)),2)</f>
        <v>24.49</v>
      </c>
      <c r="P21" s="5">
        <f>ROUND(MAX($D21:$E21)+MIN($D21:$E21)*SUMIFS(PrefFlows!$C:$C,PrefFlows!$A:$A,INDEX($D$1:$E$1,MATCH(MIN($D21:$E21),$D21:$E21,0)),PrefFlows!$B:$B,$B21),2)</f>
        <v>47.84</v>
      </c>
      <c r="Q21" s="5">
        <f t="shared" si="6"/>
        <v>3.88</v>
      </c>
      <c r="R21" s="5">
        <f t="shared" si="7"/>
        <v>22.37</v>
      </c>
      <c r="S21" s="3">
        <f t="shared" si="8"/>
        <v>1.42</v>
      </c>
      <c r="T21" s="6">
        <f t="shared" si="9"/>
        <v>23.35</v>
      </c>
      <c r="U21" s="4">
        <f>ROUND($Q21*SUMIFS(PrefFlows!$C:$C,PrefFlows!$A:$A,$Q$1,PrefFlows!$B:$B,$B21)+$R21*SUMIFS(PrefFlows!$C:$C,PrefFlows!$A:$A,$R$1,PrefFlows!$B:$B,$B21)+$S21*SUMIFS(PrefFlows!$C:$C,PrefFlows!$A:$A,$S$1,PrefFlows!$B:$B,$B21),2)</f>
        <v>7.92</v>
      </c>
      <c r="V21" s="3">
        <f>ROUND($Q21*(1-SUMIFS(PrefFlows!$C:$C,PrefFlows!$A:$A,$Q$1,PrefFlows!$B:$B,$B21))+$R21*(1-SUMIFS(PrefFlows!$C:$C,PrefFlows!$A:$A,$R$1,PrefFlows!$B:$B,$B21))+$S21*(1-SUMIFS(PrefFlows!$C:$C,PrefFlows!$A:$A,$S$1,PrefFlows!$B:$B,$B21)),2)</f>
        <v>19.75</v>
      </c>
      <c r="W21" s="4">
        <f t="shared" si="10"/>
        <v>7.08</v>
      </c>
      <c r="X21" s="3">
        <f t="shared" si="11"/>
        <v>20.59</v>
      </c>
      <c r="Y21" s="4">
        <f t="shared" si="12"/>
        <v>0.28620000000000001</v>
      </c>
      <c r="Z21" s="5">
        <f t="shared" si="13"/>
        <v>0.25590000000000002</v>
      </c>
      <c r="AA21" s="5">
        <f t="shared" si="14"/>
        <v>-3.0300000000000001E-2</v>
      </c>
      <c r="AB21" s="3">
        <v>-3.1164294611387099E-2</v>
      </c>
      <c r="AC21" s="4">
        <f>ROUND(Q21*(1-(Exhaust!$B$2+AB21)),2)</f>
        <v>1.83</v>
      </c>
      <c r="AD21" s="5">
        <f>ROUND(R21*(1-(Exhaust!$B$3+$AB21)),2)</f>
        <v>14.12</v>
      </c>
      <c r="AE21" s="3">
        <f>ROUND(S21*(1-(Exhaust!$B$4+$AB21)),2)</f>
        <v>0.75</v>
      </c>
      <c r="AF21" s="4">
        <f>ROUND($AC21*(SUMIFS(PrefFlows!$C:$C,PrefFlows!$A:$A,$Q$1,PrefFlows!$B:$B,$B21)+$AA21)+$AD21*(SUMIFS(PrefFlows!$C:$C,PrefFlows!$A:$A,$R$1,PrefFlows!$B:$B,$B21)+$AA21)+$AE21*(SUMIFS(PrefFlows!$C:$C,PrefFlows!$A:$A,$S$1,PrefFlows!$B:$B,$B21)+$AA21),2)</f>
        <v>4</v>
      </c>
      <c r="AG21" s="3">
        <f>ROUND($AC21*(1-(SUMIFS(PrefFlows!$C:$C,PrefFlows!$A:$A,$Q$1,PrefFlows!$B:$B,$B21)+$AA21))+$AD21*(1-(SUMIFS(PrefFlows!$C:$C,PrefFlows!$A:$A,$R$1,PrefFlows!$B:$B,$B21)+$AA21))+$AE21*(1-(SUMIFS(PrefFlows!$C:$C,PrefFlows!$A:$A,$S$1,PrefFlows!$B:$B,$B21)+$AA21)),2)</f>
        <v>12.7</v>
      </c>
      <c r="AH21" s="4">
        <f t="shared" si="15"/>
        <v>51.84</v>
      </c>
      <c r="AI21" s="3">
        <f t="shared" si="16"/>
        <v>37.19</v>
      </c>
      <c r="AJ21" s="4">
        <f t="shared" si="17"/>
        <v>58.23</v>
      </c>
      <c r="AK21" s="3">
        <f t="shared" si="17"/>
        <v>41.77</v>
      </c>
      <c r="AL21" s="1">
        <f t="shared" si="0"/>
        <v>4.92</v>
      </c>
      <c r="AM21" s="1">
        <f t="shared" si="1"/>
        <v>9.41</v>
      </c>
      <c r="AN21" s="3">
        <f t="shared" si="2"/>
        <v>8.23</v>
      </c>
      <c r="AO21" s="1" t="b">
        <f t="shared" si="18"/>
        <v>0</v>
      </c>
      <c r="AP21" s="1" t="b">
        <f t="shared" si="18"/>
        <v>0</v>
      </c>
      <c r="AQ21" s="3" t="b">
        <f t="shared" si="19"/>
        <v>0</v>
      </c>
      <c r="AR21" s="1">
        <f t="shared" si="20"/>
        <v>4.49</v>
      </c>
      <c r="AS21" s="1">
        <f t="shared" si="20"/>
        <v>3.3100000000000005</v>
      </c>
      <c r="AT21" s="3">
        <f t="shared" si="21"/>
        <v>1.1799999999999997</v>
      </c>
      <c r="AU21" s="1">
        <f>ROUND(IF($B21="NSW",L21*Meta!$B$6,L21),1)</f>
        <v>2631</v>
      </c>
      <c r="AV21" s="3">
        <f t="shared" si="3"/>
        <v>102544.9</v>
      </c>
    </row>
    <row r="22" spans="1:48" x14ac:dyDescent="0.55000000000000004">
      <c r="A22" s="2" t="s">
        <v>31</v>
      </c>
      <c r="B22" s="3" t="s">
        <v>9</v>
      </c>
      <c r="C22" s="4">
        <v>55.58</v>
      </c>
      <c r="D22" s="5">
        <v>29.2</v>
      </c>
      <c r="E22" s="5">
        <v>0</v>
      </c>
      <c r="F22" s="5">
        <v>4.28</v>
      </c>
      <c r="G22" s="5">
        <v>7.31</v>
      </c>
      <c r="H22" s="5">
        <v>3.63</v>
      </c>
      <c r="I22" s="4">
        <v>35.85</v>
      </c>
      <c r="J22" s="3">
        <v>64.150000000000006</v>
      </c>
      <c r="K22" s="4">
        <v>98561</v>
      </c>
      <c r="L22" s="5">
        <v>5521</v>
      </c>
      <c r="M22" s="3">
        <f t="shared" si="4"/>
        <v>93040</v>
      </c>
      <c r="N22" s="5">
        <f t="shared" si="5"/>
        <v>5.6016071265510697E-2</v>
      </c>
      <c r="O22" s="4">
        <f>ROUND($C22+MIN($D22:$E22)*(1-SUMIFS(PrefFlows!$C:$C,PrefFlows!$A:$A,INDEX($D$1:$E$1,MATCH(MIN($D22:$E22),$D22:$E22,0)),PrefFlows!$B:$B,$B22)),2)</f>
        <v>55.58</v>
      </c>
      <c r="P22" s="5">
        <f>ROUND(MAX($D22:$E22)+MIN($D22:$E22)*SUMIFS(PrefFlows!$C:$C,PrefFlows!$A:$A,INDEX($D$1:$E$1,MATCH(MIN($D22:$E22),$D22:$E22,0)),PrefFlows!$B:$B,$B22),2)</f>
        <v>29.2</v>
      </c>
      <c r="Q22" s="5">
        <f t="shared" si="6"/>
        <v>4.28</v>
      </c>
      <c r="R22" s="5">
        <f t="shared" si="7"/>
        <v>7.31</v>
      </c>
      <c r="S22" s="3">
        <f t="shared" si="8"/>
        <v>3.63</v>
      </c>
      <c r="T22" s="6">
        <f t="shared" si="9"/>
        <v>-26.38</v>
      </c>
      <c r="U22" s="4">
        <f>ROUND($Q22*SUMIFS(PrefFlows!$C:$C,PrefFlows!$A:$A,$Q$1,PrefFlows!$B:$B,$B22)+$R22*SUMIFS(PrefFlows!$C:$C,PrefFlows!$A:$A,$R$1,PrefFlows!$B:$B,$B22)+$S22*SUMIFS(PrefFlows!$C:$C,PrefFlows!$A:$A,$S$1,PrefFlows!$B:$B,$B22),2)</f>
        <v>5.85</v>
      </c>
      <c r="V22" s="3">
        <f>ROUND($Q22*(1-SUMIFS(PrefFlows!$C:$C,PrefFlows!$A:$A,$Q$1,PrefFlows!$B:$B,$B22))+$R22*(1-SUMIFS(PrefFlows!$C:$C,PrefFlows!$A:$A,$R$1,PrefFlows!$B:$B,$B22))+$S22*(1-SUMIFS(PrefFlows!$C:$C,PrefFlows!$A:$A,$S$1,PrefFlows!$B:$B,$B22)),2)</f>
        <v>9.3699999999999992</v>
      </c>
      <c r="W22" s="4">
        <f t="shared" si="10"/>
        <v>6.65</v>
      </c>
      <c r="X22" s="3">
        <f t="shared" si="11"/>
        <v>8.57</v>
      </c>
      <c r="Y22" s="4">
        <f t="shared" si="12"/>
        <v>0.38440000000000002</v>
      </c>
      <c r="Z22" s="5">
        <f t="shared" si="13"/>
        <v>0.43690000000000001</v>
      </c>
      <c r="AA22" s="5">
        <f t="shared" si="14"/>
        <v>5.2499999999999998E-2</v>
      </c>
      <c r="AB22" s="3">
        <v>6.3503855499973505E-2</v>
      </c>
      <c r="AC22" s="4">
        <f>ROUND(Q22*(1-(Exhaust!$B$2+AB22)),2)</f>
        <v>1.61</v>
      </c>
      <c r="AD22" s="5">
        <f>ROUND(R22*(1-(Exhaust!$B$3+$AB22)),2)</f>
        <v>3.92</v>
      </c>
      <c r="AE22" s="3">
        <f>ROUND(S22*(1-(Exhaust!$B$4+$AB22)),2)</f>
        <v>1.58</v>
      </c>
      <c r="AF22" s="4">
        <f>ROUND($AC22*(SUMIFS(PrefFlows!$C:$C,PrefFlows!$A:$A,$Q$1,PrefFlows!$B:$B,$B22)+$AA22)+$AD22*(SUMIFS(PrefFlows!$C:$C,PrefFlows!$A:$A,$R$1,PrefFlows!$B:$B,$B22)+$AA22)+$AE22*(SUMIFS(PrefFlows!$C:$C,PrefFlows!$A:$A,$S$1,PrefFlows!$B:$B,$B22)+$AA22),2)</f>
        <v>2.87</v>
      </c>
      <c r="AG22" s="3">
        <f>ROUND($AC22*(1-(SUMIFS(PrefFlows!$C:$C,PrefFlows!$A:$A,$Q$1,PrefFlows!$B:$B,$B22)+$AA22))+$AD22*(1-(SUMIFS(PrefFlows!$C:$C,PrefFlows!$A:$A,$R$1,PrefFlows!$B:$B,$B22)+$AA22))+$AE22*(1-(SUMIFS(PrefFlows!$C:$C,PrefFlows!$A:$A,$S$1,PrefFlows!$B:$B,$B22)+$AA22)),2)</f>
        <v>4.24</v>
      </c>
      <c r="AH22" s="4">
        <f t="shared" si="15"/>
        <v>32.07</v>
      </c>
      <c r="AI22" s="3">
        <f t="shared" si="16"/>
        <v>59.82</v>
      </c>
      <c r="AJ22" s="4">
        <f t="shared" si="17"/>
        <v>34.9</v>
      </c>
      <c r="AK22" s="3">
        <f t="shared" si="17"/>
        <v>65.099999999999994</v>
      </c>
      <c r="AL22" s="1">
        <f t="shared" si="0"/>
        <v>-14.15</v>
      </c>
      <c r="AM22" s="1">
        <f t="shared" si="1"/>
        <v>-14.77</v>
      </c>
      <c r="AN22" s="3">
        <f t="shared" si="2"/>
        <v>-15.1</v>
      </c>
      <c r="AO22" s="1" t="b">
        <f t="shared" si="18"/>
        <v>0</v>
      </c>
      <c r="AP22" s="1" t="b">
        <f t="shared" si="18"/>
        <v>0</v>
      </c>
      <c r="AQ22" s="3" t="b">
        <f t="shared" si="19"/>
        <v>0</v>
      </c>
      <c r="AR22" s="1">
        <f t="shared" si="20"/>
        <v>-0.61999999999999922</v>
      </c>
      <c r="AS22" s="1">
        <f t="shared" si="20"/>
        <v>-0.94999999999999929</v>
      </c>
      <c r="AT22" s="3">
        <f t="shared" si="21"/>
        <v>0.33000000000000007</v>
      </c>
      <c r="AU22" s="1">
        <f>ROUND(IF($B22="NSW",L22*Meta!$B$6,L22),1)</f>
        <v>5521</v>
      </c>
      <c r="AV22" s="3">
        <f t="shared" si="3"/>
        <v>94273.7</v>
      </c>
    </row>
    <row r="23" spans="1:48" x14ac:dyDescent="0.55000000000000004">
      <c r="A23" s="2" t="s">
        <v>202</v>
      </c>
      <c r="B23" s="3" t="s">
        <v>29</v>
      </c>
      <c r="C23" s="4">
        <v>40.96</v>
      </c>
      <c r="D23" s="5">
        <v>33.42</v>
      </c>
      <c r="E23" s="5">
        <v>0</v>
      </c>
      <c r="F23" s="5">
        <v>7.94</v>
      </c>
      <c r="G23" s="5">
        <v>9.41</v>
      </c>
      <c r="H23" s="5">
        <v>8.2799999999999994</v>
      </c>
      <c r="I23" s="4">
        <v>45.01</v>
      </c>
      <c r="J23" s="3">
        <v>54.99</v>
      </c>
      <c r="K23" s="4">
        <v>94082</v>
      </c>
      <c r="L23" s="5">
        <v>6042</v>
      </c>
      <c r="M23" s="3">
        <f t="shared" si="4"/>
        <v>88040</v>
      </c>
      <c r="N23" s="5">
        <f t="shared" si="5"/>
        <v>6.4220573542229126E-2</v>
      </c>
      <c r="O23" s="4">
        <f>ROUND($C23+MIN($D23:$E23)*(1-SUMIFS(PrefFlows!$C:$C,PrefFlows!$A:$A,INDEX($D$1:$E$1,MATCH(MIN($D23:$E23),$D23:$E23,0)),PrefFlows!$B:$B,$B23)),2)</f>
        <v>40.96</v>
      </c>
      <c r="P23" s="5">
        <f>ROUND(MAX($D23:$E23)+MIN($D23:$E23)*SUMIFS(PrefFlows!$C:$C,PrefFlows!$A:$A,INDEX($D$1:$E$1,MATCH(MIN($D23:$E23),$D23:$E23,0)),PrefFlows!$B:$B,$B23),2)</f>
        <v>33.42</v>
      </c>
      <c r="Q23" s="5">
        <f t="shared" si="6"/>
        <v>7.94</v>
      </c>
      <c r="R23" s="5">
        <f t="shared" si="7"/>
        <v>9.41</v>
      </c>
      <c r="S23" s="3">
        <f t="shared" si="8"/>
        <v>8.2799999999999994</v>
      </c>
      <c r="T23" s="6">
        <f t="shared" si="9"/>
        <v>-7.54</v>
      </c>
      <c r="U23" s="4">
        <f>ROUND($Q23*SUMIFS(PrefFlows!$C:$C,PrefFlows!$A:$A,$Q$1,PrefFlows!$B:$B,$B23)+$R23*SUMIFS(PrefFlows!$C:$C,PrefFlows!$A:$A,$R$1,PrefFlows!$B:$B,$B23)+$S23*SUMIFS(PrefFlows!$C:$C,PrefFlows!$A:$A,$S$1,PrefFlows!$B:$B,$B23),2)</f>
        <v>11.28</v>
      </c>
      <c r="V23" s="3">
        <f>ROUND($Q23*(1-SUMIFS(PrefFlows!$C:$C,PrefFlows!$A:$A,$Q$1,PrefFlows!$B:$B,$B23))+$R23*(1-SUMIFS(PrefFlows!$C:$C,PrefFlows!$A:$A,$R$1,PrefFlows!$B:$B,$B23))+$S23*(1-SUMIFS(PrefFlows!$C:$C,PrefFlows!$A:$A,$S$1,PrefFlows!$B:$B,$B23)),2)</f>
        <v>14.35</v>
      </c>
      <c r="W23" s="4">
        <f t="shared" si="10"/>
        <v>11.59</v>
      </c>
      <c r="X23" s="3">
        <f t="shared" si="11"/>
        <v>14.03</v>
      </c>
      <c r="Y23" s="4">
        <f t="shared" si="12"/>
        <v>0.44009999999999999</v>
      </c>
      <c r="Z23" s="5">
        <f t="shared" si="13"/>
        <v>0.45240000000000002</v>
      </c>
      <c r="AA23" s="5">
        <f t="shared" si="14"/>
        <v>1.23E-2</v>
      </c>
      <c r="AB23" s="3">
        <v>5.4831090955376201E-2</v>
      </c>
      <c r="AC23" s="4">
        <f>ROUND(Q23*(1-(Exhaust!$B$2+AB23)),2)</f>
        <v>3.06</v>
      </c>
      <c r="AD23" s="5">
        <f>ROUND(R23*(1-(Exhaust!$B$3+$AB23)),2)</f>
        <v>5.13</v>
      </c>
      <c r="AE23" s="3">
        <f>ROUND(S23*(1-(Exhaust!$B$4+$AB23)),2)</f>
        <v>3.69</v>
      </c>
      <c r="AF23" s="4">
        <f>ROUND($AC23*(SUMIFS(PrefFlows!$C:$C,PrefFlows!$A:$A,$Q$1,PrefFlows!$B:$B,$B23)+$AA23)+$AD23*(SUMIFS(PrefFlows!$C:$C,PrefFlows!$A:$A,$R$1,PrefFlows!$B:$B,$B23)+$AA23)+$AE23*(SUMIFS(PrefFlows!$C:$C,PrefFlows!$A:$A,$S$1,PrefFlows!$B:$B,$B23)+$AA23),2)</f>
        <v>5.0599999999999996</v>
      </c>
      <c r="AG23" s="3">
        <f>ROUND($AC23*(1-(SUMIFS(PrefFlows!$C:$C,PrefFlows!$A:$A,$Q$1,PrefFlows!$B:$B,$B23)+$AA23))+$AD23*(1-(SUMIFS(PrefFlows!$C:$C,PrefFlows!$A:$A,$R$1,PrefFlows!$B:$B,$B23)+$AA23))+$AE23*(1-(SUMIFS(PrefFlows!$C:$C,PrefFlows!$A:$A,$S$1,PrefFlows!$B:$B,$B23)+$AA23)),2)</f>
        <v>6.82</v>
      </c>
      <c r="AH23" s="4">
        <f t="shared" si="15"/>
        <v>38.479999999999997</v>
      </c>
      <c r="AI23" s="3">
        <f t="shared" si="16"/>
        <v>47.78</v>
      </c>
      <c r="AJ23" s="4">
        <f t="shared" si="17"/>
        <v>44.61</v>
      </c>
      <c r="AK23" s="3">
        <f t="shared" si="17"/>
        <v>55.39</v>
      </c>
      <c r="AL23" s="1">
        <f t="shared" si="0"/>
        <v>-4.99</v>
      </c>
      <c r="AM23" s="1">
        <f t="shared" si="1"/>
        <v>-5.0199999999999996</v>
      </c>
      <c r="AN23" s="3">
        <f t="shared" si="2"/>
        <v>-5.39</v>
      </c>
      <c r="AO23" s="1" t="b">
        <f t="shared" si="18"/>
        <v>0</v>
      </c>
      <c r="AP23" s="1" t="b">
        <f t="shared" si="18"/>
        <v>0</v>
      </c>
      <c r="AQ23" s="3" t="b">
        <f t="shared" si="19"/>
        <v>0</v>
      </c>
      <c r="AR23" s="1">
        <f t="shared" si="20"/>
        <v>-2.9999999999999361E-2</v>
      </c>
      <c r="AS23" s="1">
        <f t="shared" si="20"/>
        <v>-0.39999999999999947</v>
      </c>
      <c r="AT23" s="3">
        <f t="shared" si="21"/>
        <v>0.37000000000000011</v>
      </c>
      <c r="AU23" s="1">
        <f>ROUND(IF($B23="NSW",L23*Meta!$B$6,L23),1)</f>
        <v>6042</v>
      </c>
      <c r="AV23" s="3">
        <f t="shared" si="3"/>
        <v>89390.2</v>
      </c>
    </row>
    <row r="24" spans="1:48" x14ac:dyDescent="0.55000000000000004">
      <c r="A24" s="2" t="s">
        <v>32</v>
      </c>
      <c r="B24" s="3" t="s">
        <v>12</v>
      </c>
      <c r="C24" s="4">
        <v>22.13</v>
      </c>
      <c r="D24" s="5">
        <v>0</v>
      </c>
      <c r="E24" s="5">
        <v>44.71</v>
      </c>
      <c r="F24" s="5">
        <v>3.23</v>
      </c>
      <c r="G24" s="5">
        <v>6.06</v>
      </c>
      <c r="H24" s="5">
        <v>23.87</v>
      </c>
      <c r="I24" s="4">
        <v>63.29</v>
      </c>
      <c r="J24" s="3">
        <v>36.71</v>
      </c>
      <c r="K24" s="4">
        <v>110539</v>
      </c>
      <c r="L24" s="5">
        <v>6251</v>
      </c>
      <c r="M24" s="3">
        <f t="shared" si="4"/>
        <v>104288</v>
      </c>
      <c r="N24" s="5">
        <f t="shared" si="5"/>
        <v>5.6550176860655513E-2</v>
      </c>
      <c r="O24" s="4">
        <f>ROUND($C24+MIN($D24:$E24)*(1-SUMIFS(PrefFlows!$C:$C,PrefFlows!$A:$A,INDEX($D$1:$E$1,MATCH(MIN($D24:$E24),$D24:$E24,0)),PrefFlows!$B:$B,$B24)),2)</f>
        <v>22.13</v>
      </c>
      <c r="P24" s="5">
        <f>ROUND(MAX($D24:$E24)+MIN($D24:$E24)*SUMIFS(PrefFlows!$C:$C,PrefFlows!$A:$A,INDEX($D$1:$E$1,MATCH(MIN($D24:$E24),$D24:$E24,0)),PrefFlows!$B:$B,$B24),2)</f>
        <v>44.71</v>
      </c>
      <c r="Q24" s="5">
        <f t="shared" si="6"/>
        <v>3.23</v>
      </c>
      <c r="R24" s="5">
        <f t="shared" si="7"/>
        <v>6.06</v>
      </c>
      <c r="S24" s="3">
        <f t="shared" si="8"/>
        <v>23.87</v>
      </c>
      <c r="T24" s="6">
        <f t="shared" si="9"/>
        <v>22.58</v>
      </c>
      <c r="U24" s="4">
        <f>ROUND($Q24*SUMIFS(PrefFlows!$C:$C,PrefFlows!$A:$A,$Q$1,PrefFlows!$B:$B,$B24)+$R24*SUMIFS(PrefFlows!$C:$C,PrefFlows!$A:$A,$R$1,PrefFlows!$B:$B,$B24)+$S24*SUMIFS(PrefFlows!$C:$C,PrefFlows!$A:$A,$S$1,PrefFlows!$B:$B,$B24),2)</f>
        <v>15.62</v>
      </c>
      <c r="V24" s="3">
        <f>ROUND($Q24*(1-SUMIFS(PrefFlows!$C:$C,PrefFlows!$A:$A,$Q$1,PrefFlows!$B:$B,$B24))+$R24*(1-SUMIFS(PrefFlows!$C:$C,PrefFlows!$A:$A,$R$1,PrefFlows!$B:$B,$B24))+$S24*(1-SUMIFS(PrefFlows!$C:$C,PrefFlows!$A:$A,$S$1,PrefFlows!$B:$B,$B24)),2)</f>
        <v>17.54</v>
      </c>
      <c r="W24" s="4">
        <f t="shared" si="10"/>
        <v>18.579999999999998</v>
      </c>
      <c r="X24" s="3">
        <f t="shared" si="11"/>
        <v>14.58</v>
      </c>
      <c r="Y24" s="4">
        <f t="shared" si="12"/>
        <v>0.47099999999999997</v>
      </c>
      <c r="Z24" s="5">
        <f t="shared" si="13"/>
        <v>0.56030000000000002</v>
      </c>
      <c r="AA24" s="5">
        <f t="shared" si="14"/>
        <v>8.9300000000000004E-2</v>
      </c>
      <c r="AB24" s="3">
        <v>3.6608555738121697E-2</v>
      </c>
      <c r="AC24" s="4">
        <f>ROUND(Q24*(1-(Exhaust!$B$2+AB24)),2)</f>
        <v>1.3</v>
      </c>
      <c r="AD24" s="5">
        <f>ROUND(R24*(1-(Exhaust!$B$3+$AB24)),2)</f>
        <v>3.41</v>
      </c>
      <c r="AE24" s="3">
        <f>ROUND(S24*(1-(Exhaust!$B$4+$AB24)),2)</f>
        <v>11.06</v>
      </c>
      <c r="AF24" s="4">
        <f>ROUND($AC24*(SUMIFS(PrefFlows!$C:$C,PrefFlows!$A:$A,$Q$1,PrefFlows!$B:$B,$B24)+$AA24)+$AD24*(SUMIFS(PrefFlows!$C:$C,PrefFlows!$A:$A,$R$1,PrefFlows!$B:$B,$B24)+$AA24)+$AE24*(SUMIFS(PrefFlows!$C:$C,PrefFlows!$A:$A,$S$1,PrefFlows!$B:$B,$B24)+$AA24),2)</f>
        <v>8.6300000000000008</v>
      </c>
      <c r="AG24" s="3">
        <f>ROUND($AC24*(1-(SUMIFS(PrefFlows!$C:$C,PrefFlows!$A:$A,$Q$1,PrefFlows!$B:$B,$B24)+$AA24))+$AD24*(1-(SUMIFS(PrefFlows!$C:$C,PrefFlows!$A:$A,$R$1,PrefFlows!$B:$B,$B24)+$AA24))+$AE24*(1-(SUMIFS(PrefFlows!$C:$C,PrefFlows!$A:$A,$S$1,PrefFlows!$B:$B,$B24)+$AA24)),2)</f>
        <v>7.14</v>
      </c>
      <c r="AH24" s="4">
        <f t="shared" si="15"/>
        <v>53.34</v>
      </c>
      <c r="AI24" s="3">
        <f t="shared" si="16"/>
        <v>29.27</v>
      </c>
      <c r="AJ24" s="4">
        <f t="shared" si="17"/>
        <v>64.569999999999993</v>
      </c>
      <c r="AK24" s="3">
        <f t="shared" si="17"/>
        <v>35.43</v>
      </c>
      <c r="AL24" s="1">
        <f t="shared" si="0"/>
        <v>13.29</v>
      </c>
      <c r="AM24" s="1">
        <f t="shared" si="1"/>
        <v>14.66</v>
      </c>
      <c r="AN24" s="3">
        <f t="shared" si="2"/>
        <v>14.57</v>
      </c>
      <c r="AO24" s="1" t="b">
        <f t="shared" si="18"/>
        <v>0</v>
      </c>
      <c r="AP24" s="1" t="b">
        <f t="shared" si="18"/>
        <v>0</v>
      </c>
      <c r="AQ24" s="3" t="b">
        <f t="shared" si="19"/>
        <v>0</v>
      </c>
      <c r="AR24" s="1">
        <f t="shared" si="20"/>
        <v>1.370000000000001</v>
      </c>
      <c r="AS24" s="1">
        <f t="shared" si="20"/>
        <v>1.2800000000000011</v>
      </c>
      <c r="AT24" s="3">
        <f t="shared" si="21"/>
        <v>8.9999999999999858E-2</v>
      </c>
      <c r="AU24" s="1">
        <f>ROUND(IF($B24="NSW",L24*Meta!$B$6,L24),1)</f>
        <v>4156.8999999999996</v>
      </c>
      <c r="AV24" s="3">
        <f t="shared" si="3"/>
        <v>107311</v>
      </c>
    </row>
    <row r="25" spans="1:48" x14ac:dyDescent="0.55000000000000004">
      <c r="A25" s="2" t="s">
        <v>33</v>
      </c>
      <c r="B25" s="3" t="s">
        <v>9</v>
      </c>
      <c r="C25" s="4">
        <v>53.88</v>
      </c>
      <c r="D25" s="5">
        <v>25.13</v>
      </c>
      <c r="E25" s="5">
        <v>0</v>
      </c>
      <c r="F25" s="5">
        <v>3.47</v>
      </c>
      <c r="G25" s="5">
        <v>6.74</v>
      </c>
      <c r="H25" s="5">
        <v>10.78</v>
      </c>
      <c r="I25" s="4">
        <v>31.2</v>
      </c>
      <c r="J25" s="3">
        <v>68.8</v>
      </c>
      <c r="K25" s="4">
        <v>96336</v>
      </c>
      <c r="L25" s="5">
        <v>8884</v>
      </c>
      <c r="M25" s="3">
        <f t="shared" si="4"/>
        <v>87452</v>
      </c>
      <c r="N25" s="5">
        <f t="shared" si="5"/>
        <v>9.2218900514864643E-2</v>
      </c>
      <c r="O25" s="4">
        <f>ROUND($C25+MIN($D25:$E25)*(1-SUMIFS(PrefFlows!$C:$C,PrefFlows!$A:$A,INDEX($D$1:$E$1,MATCH(MIN($D25:$E25),$D25:$E25,0)),PrefFlows!$B:$B,$B25)),2)</f>
        <v>53.88</v>
      </c>
      <c r="P25" s="5">
        <f>ROUND(MAX($D25:$E25)+MIN($D25:$E25)*SUMIFS(PrefFlows!$C:$C,PrefFlows!$A:$A,INDEX($D$1:$E$1,MATCH(MIN($D25:$E25),$D25:$E25,0)),PrefFlows!$B:$B,$B25),2)</f>
        <v>25.13</v>
      </c>
      <c r="Q25" s="5">
        <f t="shared" si="6"/>
        <v>3.47</v>
      </c>
      <c r="R25" s="5">
        <f t="shared" si="7"/>
        <v>6.74</v>
      </c>
      <c r="S25" s="3">
        <f t="shared" si="8"/>
        <v>10.78</v>
      </c>
      <c r="T25" s="6">
        <f t="shared" si="9"/>
        <v>-28.75</v>
      </c>
      <c r="U25" s="4">
        <f>ROUND($Q25*SUMIFS(PrefFlows!$C:$C,PrefFlows!$A:$A,$Q$1,PrefFlows!$B:$B,$B25)+$R25*SUMIFS(PrefFlows!$C:$C,PrefFlows!$A:$A,$R$1,PrefFlows!$B:$B,$B25)+$S25*SUMIFS(PrefFlows!$C:$C,PrefFlows!$A:$A,$S$1,PrefFlows!$B:$B,$B25),2)</f>
        <v>9.11</v>
      </c>
      <c r="V25" s="3">
        <f>ROUND($Q25*(1-SUMIFS(PrefFlows!$C:$C,PrefFlows!$A:$A,$Q$1,PrefFlows!$B:$B,$B25))+$R25*(1-SUMIFS(PrefFlows!$C:$C,PrefFlows!$A:$A,$R$1,PrefFlows!$B:$B,$B25))+$S25*(1-SUMIFS(PrefFlows!$C:$C,PrefFlows!$A:$A,$S$1,PrefFlows!$B:$B,$B25)),2)</f>
        <v>11.88</v>
      </c>
      <c r="W25" s="4">
        <f t="shared" si="10"/>
        <v>6.07</v>
      </c>
      <c r="X25" s="3">
        <f t="shared" si="11"/>
        <v>14.92</v>
      </c>
      <c r="Y25" s="4">
        <f t="shared" si="12"/>
        <v>0.434</v>
      </c>
      <c r="Z25" s="5">
        <f t="shared" si="13"/>
        <v>0.28920000000000001</v>
      </c>
      <c r="AA25" s="5">
        <f t="shared" si="14"/>
        <v>-0.14480000000000001</v>
      </c>
      <c r="AB25" s="3">
        <v>8.0328507488596698E-2</v>
      </c>
      <c r="AC25" s="4">
        <f>ROUND(Q25*(1-(Exhaust!$B$2+AB25)),2)</f>
        <v>1.25</v>
      </c>
      <c r="AD25" s="5">
        <f>ROUND(R25*(1-(Exhaust!$B$3+$AB25)),2)</f>
        <v>3.5</v>
      </c>
      <c r="AE25" s="3">
        <f>ROUND(S25*(1-(Exhaust!$B$4+$AB25)),2)</f>
        <v>4.5199999999999996</v>
      </c>
      <c r="AF25" s="4">
        <f>ROUND($AC25*(SUMIFS(PrefFlows!$C:$C,PrefFlows!$A:$A,$Q$1,PrefFlows!$B:$B,$B25)+$AA25)+$AD25*(SUMIFS(PrefFlows!$C:$C,PrefFlows!$A:$A,$R$1,PrefFlows!$B:$B,$B25)+$AA25)+$AE25*(SUMIFS(PrefFlows!$C:$C,PrefFlows!$A:$A,$S$1,PrefFlows!$B:$B,$B25)+$AA25),2)</f>
        <v>2.4500000000000002</v>
      </c>
      <c r="AG25" s="3">
        <f>ROUND($AC25*(1-(SUMIFS(PrefFlows!$C:$C,PrefFlows!$A:$A,$Q$1,PrefFlows!$B:$B,$B25)+$AA25))+$AD25*(1-(SUMIFS(PrefFlows!$C:$C,PrefFlows!$A:$A,$R$1,PrefFlows!$B:$B,$B25)+$AA25))+$AE25*(1-(SUMIFS(PrefFlows!$C:$C,PrefFlows!$A:$A,$S$1,PrefFlows!$B:$B,$B25)+$AA25)),2)</f>
        <v>6.82</v>
      </c>
      <c r="AH25" s="4">
        <f t="shared" si="15"/>
        <v>27.58</v>
      </c>
      <c r="AI25" s="3">
        <f t="shared" si="16"/>
        <v>60.7</v>
      </c>
      <c r="AJ25" s="4">
        <f t="shared" si="17"/>
        <v>31.24</v>
      </c>
      <c r="AK25" s="3">
        <f t="shared" si="17"/>
        <v>68.760000000000005</v>
      </c>
      <c r="AL25" s="1">
        <f t="shared" si="0"/>
        <v>-18.8</v>
      </c>
      <c r="AM25" s="1">
        <f t="shared" si="1"/>
        <v>-18.54</v>
      </c>
      <c r="AN25" s="3">
        <f t="shared" si="2"/>
        <v>-18.760000000000002</v>
      </c>
      <c r="AO25" s="1" t="b">
        <f t="shared" si="18"/>
        <v>0</v>
      </c>
      <c r="AP25" s="1" t="b">
        <f t="shared" si="18"/>
        <v>0</v>
      </c>
      <c r="AQ25" s="3" t="b">
        <f t="shared" si="19"/>
        <v>0</v>
      </c>
      <c r="AR25" s="1">
        <f t="shared" si="20"/>
        <v>0.26000000000000156</v>
      </c>
      <c r="AS25" s="1">
        <f t="shared" si="20"/>
        <v>3.9999999999999147E-2</v>
      </c>
      <c r="AT25" s="3">
        <f t="shared" si="21"/>
        <v>0.22000000000000242</v>
      </c>
      <c r="AU25" s="1">
        <f>ROUND(IF($B25="NSW",L25*Meta!$B$6,L25),1)</f>
        <v>8884</v>
      </c>
      <c r="AV25" s="3">
        <f t="shared" si="3"/>
        <v>89437.3</v>
      </c>
    </row>
    <row r="26" spans="1:48" x14ac:dyDescent="0.55000000000000004">
      <c r="A26" s="2" t="s">
        <v>34</v>
      </c>
      <c r="B26" s="3" t="s">
        <v>35</v>
      </c>
      <c r="C26" s="4">
        <v>40.5</v>
      </c>
      <c r="D26" s="5">
        <v>27.85</v>
      </c>
      <c r="E26" s="5">
        <v>0</v>
      </c>
      <c r="F26" s="5">
        <v>1.58</v>
      </c>
      <c r="G26" s="5">
        <v>23.31</v>
      </c>
      <c r="H26" s="5">
        <v>6.77</v>
      </c>
      <c r="I26" s="4">
        <v>32.92</v>
      </c>
      <c r="J26" s="3">
        <v>67.08</v>
      </c>
      <c r="K26" s="4">
        <v>88307</v>
      </c>
      <c r="L26" s="5">
        <v>1904</v>
      </c>
      <c r="M26" s="3">
        <f t="shared" si="4"/>
        <v>86403</v>
      </c>
      <c r="N26" s="5">
        <f t="shared" si="5"/>
        <v>2.1561144643120023E-2</v>
      </c>
      <c r="O26" s="4">
        <f>ROUND($C26+MIN($D26:$E26)*(1-SUMIFS(PrefFlows!$C:$C,PrefFlows!$A:$A,INDEX($D$1:$E$1,MATCH(MIN($D26:$E26),$D26:$E26,0)),PrefFlows!$B:$B,$B26)),2)</f>
        <v>40.5</v>
      </c>
      <c r="P26" s="5">
        <f>ROUND(MAX($D26:$E26)+MIN($D26:$E26)*SUMIFS(PrefFlows!$C:$C,PrefFlows!$A:$A,INDEX($D$1:$E$1,MATCH(MIN($D26:$E26),$D26:$E26,0)),PrefFlows!$B:$B,$B26),2)</f>
        <v>27.85</v>
      </c>
      <c r="Q26" s="5">
        <f t="shared" si="6"/>
        <v>1.58</v>
      </c>
      <c r="R26" s="5">
        <f t="shared" si="7"/>
        <v>23.31</v>
      </c>
      <c r="S26" s="3">
        <f t="shared" si="8"/>
        <v>6.77</v>
      </c>
      <c r="T26" s="6">
        <f t="shared" si="9"/>
        <v>-12.65</v>
      </c>
      <c r="U26" s="4">
        <f>ROUND($Q26*SUMIFS(PrefFlows!$C:$C,PrefFlows!$A:$A,$Q$1,PrefFlows!$B:$B,$B26)+$R26*SUMIFS(PrefFlows!$C:$C,PrefFlows!$A:$A,$R$1,PrefFlows!$B:$B,$B26)+$S26*SUMIFS(PrefFlows!$C:$C,PrefFlows!$A:$A,$S$1,PrefFlows!$B:$B,$B26),2)</f>
        <v>7.53</v>
      </c>
      <c r="V26" s="3">
        <f>ROUND($Q26*(1-SUMIFS(PrefFlows!$C:$C,PrefFlows!$A:$A,$Q$1,PrefFlows!$B:$B,$B26))+$R26*(1-SUMIFS(PrefFlows!$C:$C,PrefFlows!$A:$A,$R$1,PrefFlows!$B:$B,$B26))+$S26*(1-SUMIFS(PrefFlows!$C:$C,PrefFlows!$A:$A,$S$1,PrefFlows!$B:$B,$B26)),2)</f>
        <v>24.13</v>
      </c>
      <c r="W26" s="4">
        <f t="shared" si="10"/>
        <v>5.07</v>
      </c>
      <c r="X26" s="3">
        <f t="shared" si="11"/>
        <v>26.58</v>
      </c>
      <c r="Y26" s="4">
        <f t="shared" si="12"/>
        <v>0.23780000000000001</v>
      </c>
      <c r="Z26" s="5">
        <f t="shared" si="13"/>
        <v>0.16020000000000001</v>
      </c>
      <c r="AA26" s="5">
        <f t="shared" si="14"/>
        <v>-7.7600000000000002E-2</v>
      </c>
      <c r="AB26" s="3">
        <v>-5.9647740239356102E-2</v>
      </c>
      <c r="AC26" s="4">
        <f>ROUND(Q26*(1-(Exhaust!$B$2+AB26)),2)</f>
        <v>0.79</v>
      </c>
      <c r="AD26" s="5">
        <f>ROUND(R26*(1-(Exhaust!$B$3+$AB26)),2)</f>
        <v>15.38</v>
      </c>
      <c r="AE26" s="3">
        <f>ROUND(S26*(1-(Exhaust!$B$4+$AB26)),2)</f>
        <v>3.79</v>
      </c>
      <c r="AF26" s="4">
        <f>ROUND($AC26*(SUMIFS(PrefFlows!$C:$C,PrefFlows!$A:$A,$Q$1,PrefFlows!$B:$B,$B26)+$AA26)+$AD26*(SUMIFS(PrefFlows!$C:$C,PrefFlows!$A:$A,$R$1,PrefFlows!$B:$B,$B26)+$AA26)+$AE26*(SUMIFS(PrefFlows!$C:$C,PrefFlows!$A:$A,$S$1,PrefFlows!$B:$B,$B26)+$AA26),2)</f>
        <v>2.84</v>
      </c>
      <c r="AG26" s="3">
        <f>ROUND($AC26*(1-(SUMIFS(PrefFlows!$C:$C,PrefFlows!$A:$A,$Q$1,PrefFlows!$B:$B,$B26)+$AA26))+$AD26*(1-(SUMIFS(PrefFlows!$C:$C,PrefFlows!$A:$A,$R$1,PrefFlows!$B:$B,$B26)+$AA26))+$AE26*(1-(SUMIFS(PrefFlows!$C:$C,PrefFlows!$A:$A,$S$1,PrefFlows!$B:$B,$B26)+$AA26)),2)</f>
        <v>17.12</v>
      </c>
      <c r="AH26" s="4">
        <f t="shared" si="15"/>
        <v>30.69</v>
      </c>
      <c r="AI26" s="3">
        <f t="shared" si="16"/>
        <v>57.62</v>
      </c>
      <c r="AJ26" s="4">
        <f t="shared" si="17"/>
        <v>34.75</v>
      </c>
      <c r="AK26" s="3">
        <f t="shared" si="17"/>
        <v>65.25</v>
      </c>
      <c r="AL26" s="1">
        <f t="shared" si="0"/>
        <v>-17.079999999999998</v>
      </c>
      <c r="AM26" s="1">
        <f t="shared" si="1"/>
        <v>-14.05</v>
      </c>
      <c r="AN26" s="3">
        <f t="shared" si="2"/>
        <v>-15.25</v>
      </c>
      <c r="AO26" s="1" t="b">
        <f t="shared" si="18"/>
        <v>0</v>
      </c>
      <c r="AP26" s="1" t="b">
        <f t="shared" si="18"/>
        <v>0</v>
      </c>
      <c r="AQ26" s="3" t="b">
        <f t="shared" si="19"/>
        <v>0</v>
      </c>
      <c r="AR26" s="1">
        <f t="shared" si="20"/>
        <v>3.0299999999999976</v>
      </c>
      <c r="AS26" s="1">
        <f t="shared" si="20"/>
        <v>1.8299999999999983</v>
      </c>
      <c r="AT26" s="3">
        <f t="shared" si="21"/>
        <v>1.1999999999999993</v>
      </c>
      <c r="AU26" s="1">
        <f>ROUND(IF($B26="NSW",L26*Meta!$B$6,L26),1)</f>
        <v>1904</v>
      </c>
      <c r="AV26" s="3">
        <f t="shared" si="3"/>
        <v>86828.5</v>
      </c>
    </row>
    <row r="27" spans="1:48" x14ac:dyDescent="0.55000000000000004">
      <c r="A27" s="2" t="s">
        <v>36</v>
      </c>
      <c r="B27" s="3" t="s">
        <v>29</v>
      </c>
      <c r="C27" s="4">
        <v>27.5</v>
      </c>
      <c r="D27" s="5">
        <v>49.05</v>
      </c>
      <c r="E27" s="5">
        <v>0</v>
      </c>
      <c r="F27" s="5">
        <v>9.42</v>
      </c>
      <c r="G27" s="5">
        <v>7.53</v>
      </c>
      <c r="H27" s="5">
        <v>6.51</v>
      </c>
      <c r="I27" s="4">
        <v>61.55</v>
      </c>
      <c r="J27" s="3">
        <v>38.450000000000003</v>
      </c>
      <c r="K27" s="4">
        <v>96782</v>
      </c>
      <c r="L27" s="5">
        <v>5890</v>
      </c>
      <c r="M27" s="3">
        <f t="shared" si="4"/>
        <v>90892</v>
      </c>
      <c r="N27" s="5">
        <f t="shared" si="5"/>
        <v>6.0858424087123636E-2</v>
      </c>
      <c r="O27" s="4">
        <f>ROUND($C27+MIN($D27:$E27)*(1-SUMIFS(PrefFlows!$C:$C,PrefFlows!$A:$A,INDEX($D$1:$E$1,MATCH(MIN($D27:$E27),$D27:$E27,0)),PrefFlows!$B:$B,$B27)),2)</f>
        <v>27.5</v>
      </c>
      <c r="P27" s="5">
        <f>ROUND(MAX($D27:$E27)+MIN($D27:$E27)*SUMIFS(PrefFlows!$C:$C,PrefFlows!$A:$A,INDEX($D$1:$E$1,MATCH(MIN($D27:$E27),$D27:$E27,0)),PrefFlows!$B:$B,$B27),2)</f>
        <v>49.05</v>
      </c>
      <c r="Q27" s="5">
        <f t="shared" si="6"/>
        <v>9.42</v>
      </c>
      <c r="R27" s="5">
        <f t="shared" si="7"/>
        <v>7.53</v>
      </c>
      <c r="S27" s="3">
        <f t="shared" si="8"/>
        <v>6.51</v>
      </c>
      <c r="T27" s="6">
        <f t="shared" si="9"/>
        <v>21.55</v>
      </c>
      <c r="U27" s="4">
        <f>ROUND($Q27*SUMIFS(PrefFlows!$C:$C,PrefFlows!$A:$A,$Q$1,PrefFlows!$B:$B,$B27)+$R27*SUMIFS(PrefFlows!$C:$C,PrefFlows!$A:$A,$R$1,PrefFlows!$B:$B,$B27)+$S27*SUMIFS(PrefFlows!$C:$C,PrefFlows!$A:$A,$S$1,PrefFlows!$B:$B,$B27),2)</f>
        <v>10.92</v>
      </c>
      <c r="V27" s="3">
        <f>ROUND($Q27*(1-SUMIFS(PrefFlows!$C:$C,PrefFlows!$A:$A,$Q$1,PrefFlows!$B:$B,$B27))+$R27*(1-SUMIFS(PrefFlows!$C:$C,PrefFlows!$A:$A,$R$1,PrefFlows!$B:$B,$B27))+$S27*(1-SUMIFS(PrefFlows!$C:$C,PrefFlows!$A:$A,$S$1,PrefFlows!$B:$B,$B27)),2)</f>
        <v>12.54</v>
      </c>
      <c r="W27" s="4">
        <f t="shared" si="10"/>
        <v>12.5</v>
      </c>
      <c r="X27" s="3">
        <f t="shared" si="11"/>
        <v>10.95</v>
      </c>
      <c r="Y27" s="4">
        <f t="shared" si="12"/>
        <v>0.46550000000000002</v>
      </c>
      <c r="Z27" s="5">
        <f t="shared" si="13"/>
        <v>0.53300000000000003</v>
      </c>
      <c r="AA27" s="5">
        <f t="shared" si="14"/>
        <v>6.7500000000000004E-2</v>
      </c>
      <c r="AB27" s="3">
        <v>6.4680908666869999E-2</v>
      </c>
      <c r="AC27" s="4">
        <f>ROUND(Q27*(1-(Exhaust!$B$2+AB27)),2)</f>
        <v>3.54</v>
      </c>
      <c r="AD27" s="5">
        <f>ROUND(R27*(1-(Exhaust!$B$3+$AB27)),2)</f>
        <v>4.03</v>
      </c>
      <c r="AE27" s="3">
        <f>ROUND(S27*(1-(Exhaust!$B$4+$AB27)),2)</f>
        <v>2.83</v>
      </c>
      <c r="AF27" s="4">
        <f>ROUND($AC27*(SUMIFS(PrefFlows!$C:$C,PrefFlows!$A:$A,$Q$1,PrefFlows!$B:$B,$B27)+$AA27)+$AD27*(SUMIFS(PrefFlows!$C:$C,PrefFlows!$A:$A,$R$1,PrefFlows!$B:$B,$B27)+$AA27)+$AE27*(SUMIFS(PrefFlows!$C:$C,PrefFlows!$A:$A,$S$1,PrefFlows!$B:$B,$B27)+$AA27),2)</f>
        <v>5.25</v>
      </c>
      <c r="AG27" s="3">
        <f>ROUND($AC27*(1-(SUMIFS(PrefFlows!$C:$C,PrefFlows!$A:$A,$Q$1,PrefFlows!$B:$B,$B27)+$AA27))+$AD27*(1-(SUMIFS(PrefFlows!$C:$C,PrefFlows!$A:$A,$R$1,PrefFlows!$B:$B,$B27)+$AA27))+$AE27*(1-(SUMIFS(PrefFlows!$C:$C,PrefFlows!$A:$A,$S$1,PrefFlows!$B:$B,$B27)+$AA27)),2)</f>
        <v>5.15</v>
      </c>
      <c r="AH27" s="4">
        <f t="shared" si="15"/>
        <v>54.3</v>
      </c>
      <c r="AI27" s="3">
        <f t="shared" si="16"/>
        <v>32.65</v>
      </c>
      <c r="AJ27" s="4">
        <f t="shared" si="17"/>
        <v>62.45</v>
      </c>
      <c r="AK27" s="3">
        <f t="shared" si="17"/>
        <v>37.549999999999997</v>
      </c>
      <c r="AL27" s="1">
        <f t="shared" si="0"/>
        <v>11.55</v>
      </c>
      <c r="AM27" s="1">
        <f t="shared" si="1"/>
        <v>12.6</v>
      </c>
      <c r="AN27" s="3">
        <f t="shared" si="2"/>
        <v>12.45</v>
      </c>
      <c r="AO27" s="1" t="b">
        <f t="shared" si="18"/>
        <v>0</v>
      </c>
      <c r="AP27" s="1" t="b">
        <f t="shared" si="18"/>
        <v>0</v>
      </c>
      <c r="AQ27" s="3" t="b">
        <f t="shared" si="19"/>
        <v>0</v>
      </c>
      <c r="AR27" s="1">
        <f t="shared" si="20"/>
        <v>1.0499999999999989</v>
      </c>
      <c r="AS27" s="1">
        <f t="shared" si="20"/>
        <v>0.89999999999999858</v>
      </c>
      <c r="AT27" s="3">
        <f t="shared" si="21"/>
        <v>0.15000000000000036</v>
      </c>
      <c r="AU27" s="1">
        <f>ROUND(IF($B27="NSW",L27*Meta!$B$6,L27),1)</f>
        <v>5890</v>
      </c>
      <c r="AV27" s="3">
        <f t="shared" si="3"/>
        <v>92208.2</v>
      </c>
    </row>
    <row r="28" spans="1:48" x14ac:dyDescent="0.55000000000000004">
      <c r="A28" s="2" t="s">
        <v>37</v>
      </c>
      <c r="B28" s="3" t="s">
        <v>21</v>
      </c>
      <c r="C28" s="4">
        <v>23.74</v>
      </c>
      <c r="D28" s="5">
        <v>40.65</v>
      </c>
      <c r="E28" s="5">
        <v>0</v>
      </c>
      <c r="F28" s="5">
        <v>24.31</v>
      </c>
      <c r="G28" s="5">
        <v>4.84</v>
      </c>
      <c r="H28" s="5">
        <v>6.47</v>
      </c>
      <c r="I28" s="4">
        <v>62.35</v>
      </c>
      <c r="J28" s="3">
        <v>37.65</v>
      </c>
      <c r="K28" s="4">
        <v>94975</v>
      </c>
      <c r="L28" s="5">
        <v>6008</v>
      </c>
      <c r="M28" s="3">
        <f t="shared" si="4"/>
        <v>88967</v>
      </c>
      <c r="N28" s="5">
        <f t="shared" si="5"/>
        <v>6.32587523032377E-2</v>
      </c>
      <c r="O28" s="4">
        <f>ROUND($C28+MIN($D28:$E28)*(1-SUMIFS(PrefFlows!$C:$C,PrefFlows!$A:$A,INDEX($D$1:$E$1,MATCH(MIN($D28:$E28),$D28:$E28,0)),PrefFlows!$B:$B,$B28)),2)</f>
        <v>23.74</v>
      </c>
      <c r="P28" s="5">
        <f>ROUND(MAX($D28:$E28)+MIN($D28:$E28)*SUMIFS(PrefFlows!$C:$C,PrefFlows!$A:$A,INDEX($D$1:$E$1,MATCH(MIN($D28:$E28),$D28:$E28,0)),PrefFlows!$B:$B,$B28),2)</f>
        <v>40.65</v>
      </c>
      <c r="Q28" s="5">
        <f t="shared" si="6"/>
        <v>24.31</v>
      </c>
      <c r="R28" s="5">
        <f t="shared" si="7"/>
        <v>4.84</v>
      </c>
      <c r="S28" s="3">
        <f t="shared" si="8"/>
        <v>6.47</v>
      </c>
      <c r="T28" s="6">
        <f t="shared" si="9"/>
        <v>16.91</v>
      </c>
      <c r="U28" s="4">
        <f>ROUND($Q28*SUMIFS(PrefFlows!$C:$C,PrefFlows!$A:$A,$Q$1,PrefFlows!$B:$B,$B28)+$R28*SUMIFS(PrefFlows!$C:$C,PrefFlows!$A:$A,$R$1,PrefFlows!$B:$B,$B28)+$S28*SUMIFS(PrefFlows!$C:$C,PrefFlows!$A:$A,$S$1,PrefFlows!$B:$B,$B28),2)</f>
        <v>20.69</v>
      </c>
      <c r="V28" s="3">
        <f>ROUND($Q28*(1-SUMIFS(PrefFlows!$C:$C,PrefFlows!$A:$A,$Q$1,PrefFlows!$B:$B,$B28))+$R28*(1-SUMIFS(PrefFlows!$C:$C,PrefFlows!$A:$A,$R$1,PrefFlows!$B:$B,$B28))+$S28*(1-SUMIFS(PrefFlows!$C:$C,PrefFlows!$A:$A,$S$1,PrefFlows!$B:$B,$B28)),2)</f>
        <v>14.93</v>
      </c>
      <c r="W28" s="4">
        <f t="shared" si="10"/>
        <v>21.7</v>
      </c>
      <c r="X28" s="3">
        <f t="shared" si="11"/>
        <v>13.91</v>
      </c>
      <c r="Y28" s="4">
        <f t="shared" si="12"/>
        <v>0.58089999999999997</v>
      </c>
      <c r="Z28" s="5">
        <f t="shared" si="13"/>
        <v>0.60940000000000005</v>
      </c>
      <c r="AA28" s="5">
        <f t="shared" si="14"/>
        <v>2.8500000000000001E-2</v>
      </c>
      <c r="AB28" s="3">
        <v>7.2877511413021803E-2</v>
      </c>
      <c r="AC28" s="4">
        <f>ROUND(Q28*(1-(Exhaust!$B$2+AB28)),2)</f>
        <v>8.92</v>
      </c>
      <c r="AD28" s="5">
        <f>ROUND(R28*(1-(Exhaust!$B$3+$AB28)),2)</f>
        <v>2.5499999999999998</v>
      </c>
      <c r="AE28" s="3">
        <f>ROUND(S28*(1-(Exhaust!$B$4+$AB28)),2)</f>
        <v>2.76</v>
      </c>
      <c r="AF28" s="4">
        <f>ROUND($AC28*(SUMIFS(PrefFlows!$C:$C,PrefFlows!$A:$A,$Q$1,PrefFlows!$B:$B,$B28)+$AA28)+$AD28*(SUMIFS(PrefFlows!$C:$C,PrefFlows!$A:$A,$R$1,PrefFlows!$B:$B,$B28)+$AA28)+$AE28*(SUMIFS(PrefFlows!$C:$C,PrefFlows!$A:$A,$S$1,PrefFlows!$B:$B,$B28)+$AA28),2)</f>
        <v>8.35</v>
      </c>
      <c r="AG28" s="3">
        <f>ROUND($AC28*(1-(SUMIFS(PrefFlows!$C:$C,PrefFlows!$A:$A,$Q$1,PrefFlows!$B:$B,$B28)+$AA28))+$AD28*(1-(SUMIFS(PrefFlows!$C:$C,PrefFlows!$A:$A,$R$1,PrefFlows!$B:$B,$B28)+$AA28))+$AE28*(1-(SUMIFS(PrefFlows!$C:$C,PrefFlows!$A:$A,$S$1,PrefFlows!$B:$B,$B28)+$AA28)),2)</f>
        <v>5.88</v>
      </c>
      <c r="AH28" s="4">
        <f t="shared" si="15"/>
        <v>49</v>
      </c>
      <c r="AI28" s="3">
        <f t="shared" si="16"/>
        <v>29.62</v>
      </c>
      <c r="AJ28" s="4">
        <f t="shared" si="17"/>
        <v>62.33</v>
      </c>
      <c r="AK28" s="3">
        <f t="shared" si="17"/>
        <v>37.67</v>
      </c>
      <c r="AL28" s="1">
        <f t="shared" si="0"/>
        <v>12.35</v>
      </c>
      <c r="AM28" s="1">
        <f t="shared" si="1"/>
        <v>12.64</v>
      </c>
      <c r="AN28" s="3">
        <f t="shared" si="2"/>
        <v>12.33</v>
      </c>
      <c r="AO28" s="1" t="b">
        <f t="shared" si="18"/>
        <v>0</v>
      </c>
      <c r="AP28" s="1" t="b">
        <f t="shared" si="18"/>
        <v>0</v>
      </c>
      <c r="AQ28" s="3" t="b">
        <f t="shared" si="19"/>
        <v>0</v>
      </c>
      <c r="AR28" s="1">
        <f t="shared" si="20"/>
        <v>0.29000000000000092</v>
      </c>
      <c r="AS28" s="1">
        <f t="shared" si="20"/>
        <v>-1.9999999999999574E-2</v>
      </c>
      <c r="AT28" s="3">
        <f t="shared" si="21"/>
        <v>0.3100000000000005</v>
      </c>
      <c r="AU28" s="1">
        <f>ROUND(IF($B28="NSW",L28*Meta!$B$6,L28),1)</f>
        <v>6008</v>
      </c>
      <c r="AV28" s="3">
        <f t="shared" si="3"/>
        <v>90309.6</v>
      </c>
    </row>
    <row r="29" spans="1:48" x14ac:dyDescent="0.55000000000000004">
      <c r="A29" s="2" t="s">
        <v>38</v>
      </c>
      <c r="B29" s="3" t="s">
        <v>9</v>
      </c>
      <c r="C29" s="4">
        <v>28.6</v>
      </c>
      <c r="D29" s="5">
        <v>45.25</v>
      </c>
      <c r="E29" s="5">
        <v>0</v>
      </c>
      <c r="F29" s="5">
        <v>2.61</v>
      </c>
      <c r="G29" s="5">
        <v>10.94</v>
      </c>
      <c r="H29" s="5">
        <v>12.6</v>
      </c>
      <c r="I29" s="4">
        <v>54.64</v>
      </c>
      <c r="J29" s="3">
        <v>45.36</v>
      </c>
      <c r="K29" s="4">
        <v>106720</v>
      </c>
      <c r="L29" s="5">
        <v>6892</v>
      </c>
      <c r="M29" s="3">
        <f t="shared" si="4"/>
        <v>99828</v>
      </c>
      <c r="N29" s="5">
        <f t="shared" si="5"/>
        <v>6.4580209895052476E-2</v>
      </c>
      <c r="O29" s="4">
        <f>ROUND($C29+MIN($D29:$E29)*(1-SUMIFS(PrefFlows!$C:$C,PrefFlows!$A:$A,INDEX($D$1:$E$1,MATCH(MIN($D29:$E29),$D29:$E29,0)),PrefFlows!$B:$B,$B29)),2)</f>
        <v>28.6</v>
      </c>
      <c r="P29" s="5">
        <f>ROUND(MAX($D29:$E29)+MIN($D29:$E29)*SUMIFS(PrefFlows!$C:$C,PrefFlows!$A:$A,INDEX($D$1:$E$1,MATCH(MIN($D29:$E29),$D29:$E29,0)),PrefFlows!$B:$B,$B29),2)</f>
        <v>45.25</v>
      </c>
      <c r="Q29" s="5">
        <f t="shared" si="6"/>
        <v>2.61</v>
      </c>
      <c r="R29" s="5">
        <f t="shared" si="7"/>
        <v>10.94</v>
      </c>
      <c r="S29" s="3">
        <f t="shared" si="8"/>
        <v>12.6</v>
      </c>
      <c r="T29" s="6">
        <f t="shared" si="9"/>
        <v>16.649999999999999</v>
      </c>
      <c r="U29" s="4">
        <f>ROUND($Q29*SUMIFS(PrefFlows!$C:$C,PrefFlows!$A:$A,$Q$1,PrefFlows!$B:$B,$B29)+$R29*SUMIFS(PrefFlows!$C:$C,PrefFlows!$A:$A,$R$1,PrefFlows!$B:$B,$B29)+$S29*SUMIFS(PrefFlows!$C:$C,PrefFlows!$A:$A,$S$1,PrefFlows!$B:$B,$B29),2)</f>
        <v>10.210000000000001</v>
      </c>
      <c r="V29" s="3">
        <f>ROUND($Q29*(1-SUMIFS(PrefFlows!$C:$C,PrefFlows!$A:$A,$Q$1,PrefFlows!$B:$B,$B29))+$R29*(1-SUMIFS(PrefFlows!$C:$C,PrefFlows!$A:$A,$R$1,PrefFlows!$B:$B,$B29))+$S29*(1-SUMIFS(PrefFlows!$C:$C,PrefFlows!$A:$A,$S$1,PrefFlows!$B:$B,$B29)),2)</f>
        <v>15.94</v>
      </c>
      <c r="W29" s="4">
        <f t="shared" si="10"/>
        <v>9.39</v>
      </c>
      <c r="X29" s="3">
        <f t="shared" si="11"/>
        <v>16.760000000000002</v>
      </c>
      <c r="Y29" s="4">
        <f t="shared" si="12"/>
        <v>0.39040000000000002</v>
      </c>
      <c r="Z29" s="5">
        <f t="shared" si="13"/>
        <v>0.35909999999999997</v>
      </c>
      <c r="AA29" s="5">
        <f t="shared" si="14"/>
        <v>-3.1300000000000001E-2</v>
      </c>
      <c r="AB29" s="3">
        <v>3.3024718076062102E-3</v>
      </c>
      <c r="AC29" s="4">
        <f>ROUND(Q29*(1-(Exhaust!$B$2+AB29)),2)</f>
        <v>1.1399999999999999</v>
      </c>
      <c r="AD29" s="5">
        <f>ROUND(R29*(1-(Exhaust!$B$3+$AB29)),2)</f>
        <v>6.53</v>
      </c>
      <c r="AE29" s="3">
        <f>ROUND(S29*(1-(Exhaust!$B$4+$AB29)),2)</f>
        <v>6.26</v>
      </c>
      <c r="AF29" s="4">
        <f>ROUND($AC29*(SUMIFS(PrefFlows!$C:$C,PrefFlows!$A:$A,$Q$1,PrefFlows!$B:$B,$B29)+$AA29)+$AD29*(SUMIFS(PrefFlows!$C:$C,PrefFlows!$A:$A,$R$1,PrefFlows!$B:$B,$B29)+$AA29)+$AE29*(SUMIFS(PrefFlows!$C:$C,PrefFlows!$A:$A,$S$1,PrefFlows!$B:$B,$B29)+$AA29),2)</f>
        <v>4.71</v>
      </c>
      <c r="AG29" s="3">
        <f>ROUND($AC29*(1-(SUMIFS(PrefFlows!$C:$C,PrefFlows!$A:$A,$Q$1,PrefFlows!$B:$B,$B29)+$AA29))+$AD29*(1-(SUMIFS(PrefFlows!$C:$C,PrefFlows!$A:$A,$R$1,PrefFlows!$B:$B,$B29)+$AA29))+$AE29*(1-(SUMIFS(PrefFlows!$C:$C,PrefFlows!$A:$A,$S$1,PrefFlows!$B:$B,$B29)+$AA29)),2)</f>
        <v>9.2200000000000006</v>
      </c>
      <c r="AH29" s="4">
        <f t="shared" si="15"/>
        <v>49.96</v>
      </c>
      <c r="AI29" s="3">
        <f t="shared" si="16"/>
        <v>37.82</v>
      </c>
      <c r="AJ29" s="4">
        <f t="shared" si="17"/>
        <v>56.92</v>
      </c>
      <c r="AK29" s="3">
        <f t="shared" si="17"/>
        <v>43.08</v>
      </c>
      <c r="AL29" s="1">
        <f t="shared" si="0"/>
        <v>4.6399999999999997</v>
      </c>
      <c r="AM29" s="1">
        <f t="shared" si="1"/>
        <v>7.33</v>
      </c>
      <c r="AN29" s="3">
        <f t="shared" si="2"/>
        <v>6.92</v>
      </c>
      <c r="AO29" s="1" t="b">
        <f t="shared" si="18"/>
        <v>0</v>
      </c>
      <c r="AP29" s="1" t="b">
        <f t="shared" si="18"/>
        <v>0</v>
      </c>
      <c r="AQ29" s="3" t="b">
        <f t="shared" si="19"/>
        <v>0</v>
      </c>
      <c r="AR29" s="1">
        <f t="shared" si="20"/>
        <v>2.6900000000000004</v>
      </c>
      <c r="AS29" s="1">
        <f t="shared" si="20"/>
        <v>2.2800000000000002</v>
      </c>
      <c r="AT29" s="3">
        <f t="shared" si="21"/>
        <v>0.41000000000000014</v>
      </c>
      <c r="AU29" s="1">
        <f>ROUND(IF($B29="NSW",L29*Meta!$B$6,L29),1)</f>
        <v>6892</v>
      </c>
      <c r="AV29" s="3">
        <f t="shared" si="3"/>
        <v>101368.1</v>
      </c>
    </row>
    <row r="30" spans="1:48" x14ac:dyDescent="0.55000000000000004">
      <c r="A30" s="2" t="s">
        <v>39</v>
      </c>
      <c r="B30" s="3" t="s">
        <v>12</v>
      </c>
      <c r="C30" s="4">
        <v>54.3</v>
      </c>
      <c r="D30" s="5">
        <v>27.92</v>
      </c>
      <c r="E30" s="5">
        <v>0</v>
      </c>
      <c r="F30" s="5">
        <v>4.54</v>
      </c>
      <c r="G30" s="5">
        <v>5.0599999999999996</v>
      </c>
      <c r="H30" s="5">
        <v>8.18</v>
      </c>
      <c r="I30" s="4">
        <v>37.630000000000003</v>
      </c>
      <c r="J30" s="3">
        <v>62.37</v>
      </c>
      <c r="K30" s="4">
        <v>100734</v>
      </c>
      <c r="L30" s="5">
        <v>9728</v>
      </c>
      <c r="M30" s="3">
        <f t="shared" si="4"/>
        <v>91006</v>
      </c>
      <c r="N30" s="5">
        <f t="shared" si="5"/>
        <v>9.6571167629598748E-2</v>
      </c>
      <c r="O30" s="4">
        <f>ROUND($C30+MIN($D30:$E30)*(1-SUMIFS(PrefFlows!$C:$C,PrefFlows!$A:$A,INDEX($D$1:$E$1,MATCH(MIN($D30:$E30),$D30:$E30,0)),PrefFlows!$B:$B,$B30)),2)</f>
        <v>54.3</v>
      </c>
      <c r="P30" s="5">
        <f>ROUND(MAX($D30:$E30)+MIN($D30:$E30)*SUMIFS(PrefFlows!$C:$C,PrefFlows!$A:$A,INDEX($D$1:$E$1,MATCH(MIN($D30:$E30),$D30:$E30,0)),PrefFlows!$B:$B,$B30),2)</f>
        <v>27.92</v>
      </c>
      <c r="Q30" s="5">
        <f t="shared" si="6"/>
        <v>4.54</v>
      </c>
      <c r="R30" s="5">
        <f t="shared" si="7"/>
        <v>5.0599999999999996</v>
      </c>
      <c r="S30" s="3">
        <f t="shared" si="8"/>
        <v>8.18</v>
      </c>
      <c r="T30" s="6">
        <f t="shared" si="9"/>
        <v>-26.38</v>
      </c>
      <c r="U30" s="4">
        <f>ROUND($Q30*SUMIFS(PrefFlows!$C:$C,PrefFlows!$A:$A,$Q$1,PrefFlows!$B:$B,$B30)+$R30*SUMIFS(PrefFlows!$C:$C,PrefFlows!$A:$A,$R$1,PrefFlows!$B:$B,$B30)+$S30*SUMIFS(PrefFlows!$C:$C,PrefFlows!$A:$A,$S$1,PrefFlows!$B:$B,$B30),2)</f>
        <v>8.09</v>
      </c>
      <c r="V30" s="3">
        <f>ROUND($Q30*(1-SUMIFS(PrefFlows!$C:$C,PrefFlows!$A:$A,$Q$1,PrefFlows!$B:$B,$B30))+$R30*(1-SUMIFS(PrefFlows!$C:$C,PrefFlows!$A:$A,$R$1,PrefFlows!$B:$B,$B30))+$S30*(1-SUMIFS(PrefFlows!$C:$C,PrefFlows!$A:$A,$S$1,PrefFlows!$B:$B,$B30)),2)</f>
        <v>9.69</v>
      </c>
      <c r="W30" s="4">
        <f t="shared" si="10"/>
        <v>9.7100000000000009</v>
      </c>
      <c r="X30" s="3">
        <f t="shared" si="11"/>
        <v>8.07</v>
      </c>
      <c r="Y30" s="4">
        <f t="shared" si="12"/>
        <v>0.45500000000000002</v>
      </c>
      <c r="Z30" s="5">
        <f t="shared" si="13"/>
        <v>0.54610000000000003</v>
      </c>
      <c r="AA30" s="5">
        <f t="shared" si="14"/>
        <v>9.11E-2</v>
      </c>
      <c r="AB30" s="3">
        <v>9.6219297629467196E-2</v>
      </c>
      <c r="AC30" s="4">
        <f>ROUND(Q30*(1-(Exhaust!$B$2+AB30)),2)</f>
        <v>1.56</v>
      </c>
      <c r="AD30" s="5">
        <f>ROUND(R30*(1-(Exhaust!$B$3+$AB30)),2)</f>
        <v>2.5499999999999998</v>
      </c>
      <c r="AE30" s="3">
        <f>ROUND(S30*(1-(Exhaust!$B$4+$AB30)),2)</f>
        <v>3.3</v>
      </c>
      <c r="AF30" s="4">
        <f>ROUND($AC30*(SUMIFS(PrefFlows!$C:$C,PrefFlows!$A:$A,$Q$1,PrefFlows!$B:$B,$B30)+$AA30)+$AD30*(SUMIFS(PrefFlows!$C:$C,PrefFlows!$A:$A,$R$1,PrefFlows!$B:$B,$B30)+$AA30)+$AE30*(SUMIFS(PrefFlows!$C:$C,PrefFlows!$A:$A,$S$1,PrefFlows!$B:$B,$B30)+$AA30),2)</f>
        <v>3.86</v>
      </c>
      <c r="AG30" s="3">
        <f>ROUND($AC30*(1-(SUMIFS(PrefFlows!$C:$C,PrefFlows!$A:$A,$Q$1,PrefFlows!$B:$B,$B30)+$AA30))+$AD30*(1-(SUMIFS(PrefFlows!$C:$C,PrefFlows!$A:$A,$R$1,PrefFlows!$B:$B,$B30)+$AA30))+$AE30*(1-(SUMIFS(PrefFlows!$C:$C,PrefFlows!$A:$A,$S$1,PrefFlows!$B:$B,$B30)+$AA30)),2)</f>
        <v>3.55</v>
      </c>
      <c r="AH30" s="4">
        <f t="shared" si="15"/>
        <v>31.78</v>
      </c>
      <c r="AI30" s="3">
        <f t="shared" si="16"/>
        <v>57.85</v>
      </c>
      <c r="AJ30" s="4">
        <f t="shared" si="17"/>
        <v>35.46</v>
      </c>
      <c r="AK30" s="3">
        <f t="shared" si="17"/>
        <v>64.540000000000006</v>
      </c>
      <c r="AL30" s="1">
        <f t="shared" si="0"/>
        <v>-12.37</v>
      </c>
      <c r="AM30" s="1">
        <f t="shared" si="1"/>
        <v>-13.95</v>
      </c>
      <c r="AN30" s="3">
        <f t="shared" si="2"/>
        <v>-14.54</v>
      </c>
      <c r="AO30" s="1" t="b">
        <f t="shared" si="18"/>
        <v>0</v>
      </c>
      <c r="AP30" s="1" t="b">
        <f t="shared" si="18"/>
        <v>0</v>
      </c>
      <c r="AQ30" s="3" t="b">
        <f t="shared" si="19"/>
        <v>0</v>
      </c>
      <c r="AR30" s="1">
        <f t="shared" si="20"/>
        <v>-1.58</v>
      </c>
      <c r="AS30" s="1">
        <f t="shared" si="20"/>
        <v>-2.17</v>
      </c>
      <c r="AT30" s="3">
        <f t="shared" si="21"/>
        <v>0.58999999999999986</v>
      </c>
      <c r="AU30" s="1">
        <f>ROUND(IF($B30="NSW",L30*Meta!$B$6,L30),1)</f>
        <v>6469.1</v>
      </c>
      <c r="AV30" s="3">
        <f t="shared" si="3"/>
        <v>95710.5</v>
      </c>
    </row>
    <row r="31" spans="1:48" x14ac:dyDescent="0.55000000000000004">
      <c r="A31" s="2" t="s">
        <v>40</v>
      </c>
      <c r="B31" s="3" t="s">
        <v>9</v>
      </c>
      <c r="C31" s="4">
        <v>34.299999999999997</v>
      </c>
      <c r="D31" s="5">
        <v>43.38</v>
      </c>
      <c r="E31" s="5">
        <v>0</v>
      </c>
      <c r="F31" s="5">
        <v>1.6</v>
      </c>
      <c r="G31" s="5">
        <v>11.84</v>
      </c>
      <c r="H31" s="5">
        <v>8.89</v>
      </c>
      <c r="I31" s="4">
        <v>50.57</v>
      </c>
      <c r="J31" s="3">
        <v>49.43</v>
      </c>
      <c r="K31" s="4">
        <v>99383</v>
      </c>
      <c r="L31" s="5">
        <v>4463</v>
      </c>
      <c r="M31" s="3">
        <f t="shared" si="4"/>
        <v>94920</v>
      </c>
      <c r="N31" s="5">
        <f t="shared" si="5"/>
        <v>4.4907076663010775E-2</v>
      </c>
      <c r="O31" s="4">
        <f>ROUND($C31+MIN($D31:$E31)*(1-SUMIFS(PrefFlows!$C:$C,PrefFlows!$A:$A,INDEX($D$1:$E$1,MATCH(MIN($D31:$E31),$D31:$E31,0)),PrefFlows!$B:$B,$B31)),2)</f>
        <v>34.299999999999997</v>
      </c>
      <c r="P31" s="5">
        <f>ROUND(MAX($D31:$E31)+MIN($D31:$E31)*SUMIFS(PrefFlows!$C:$C,PrefFlows!$A:$A,INDEX($D$1:$E$1,MATCH(MIN($D31:$E31),$D31:$E31,0)),PrefFlows!$B:$B,$B31),2)</f>
        <v>43.38</v>
      </c>
      <c r="Q31" s="5">
        <f t="shared" si="6"/>
        <v>1.6</v>
      </c>
      <c r="R31" s="5">
        <f t="shared" si="7"/>
        <v>11.84</v>
      </c>
      <c r="S31" s="3">
        <f t="shared" si="8"/>
        <v>8.89</v>
      </c>
      <c r="T31" s="6">
        <f t="shared" si="9"/>
        <v>9.08</v>
      </c>
      <c r="U31" s="4">
        <f>ROUND($Q31*SUMIFS(PrefFlows!$C:$C,PrefFlows!$A:$A,$Q$1,PrefFlows!$B:$B,$B31)+$R31*SUMIFS(PrefFlows!$C:$C,PrefFlows!$A:$A,$R$1,PrefFlows!$B:$B,$B31)+$S31*SUMIFS(PrefFlows!$C:$C,PrefFlows!$A:$A,$S$1,PrefFlows!$B:$B,$B31),2)</f>
        <v>7.69</v>
      </c>
      <c r="V31" s="3">
        <f>ROUND($Q31*(1-SUMIFS(PrefFlows!$C:$C,PrefFlows!$A:$A,$Q$1,PrefFlows!$B:$B,$B31))+$R31*(1-SUMIFS(PrefFlows!$C:$C,PrefFlows!$A:$A,$R$1,PrefFlows!$B:$B,$B31))+$S31*(1-SUMIFS(PrefFlows!$C:$C,PrefFlows!$A:$A,$S$1,PrefFlows!$B:$B,$B31)),2)</f>
        <v>14.64</v>
      </c>
      <c r="W31" s="4">
        <f t="shared" si="10"/>
        <v>7.19</v>
      </c>
      <c r="X31" s="3">
        <f t="shared" si="11"/>
        <v>15.13</v>
      </c>
      <c r="Y31" s="4">
        <f t="shared" si="12"/>
        <v>0.34439999999999998</v>
      </c>
      <c r="Z31" s="5">
        <f t="shared" si="13"/>
        <v>0.3221</v>
      </c>
      <c r="AA31" s="5">
        <f t="shared" si="14"/>
        <v>-2.23E-2</v>
      </c>
      <c r="AB31" s="3">
        <v>-8.2549378417808208E-3</v>
      </c>
      <c r="AC31" s="4">
        <f>ROUND(Q31*(1-(Exhaust!$B$2+AB31)),2)</f>
        <v>0.72</v>
      </c>
      <c r="AD31" s="5">
        <f>ROUND(R31*(1-(Exhaust!$B$3+$AB31)),2)</f>
        <v>7.2</v>
      </c>
      <c r="AE31" s="3">
        <f>ROUND(S31*(1-(Exhaust!$B$4+$AB31)),2)</f>
        <v>4.5199999999999996</v>
      </c>
      <c r="AF31" s="4">
        <f>ROUND($AC31*(SUMIFS(PrefFlows!$C:$C,PrefFlows!$A:$A,$Q$1,PrefFlows!$B:$B,$B31)+$AA31)+$AD31*(SUMIFS(PrefFlows!$C:$C,PrefFlows!$A:$A,$R$1,PrefFlows!$B:$B,$B31)+$AA31)+$AE31*(SUMIFS(PrefFlows!$C:$C,PrefFlows!$A:$A,$S$1,PrefFlows!$B:$B,$B31)+$AA31),2)</f>
        <v>3.76</v>
      </c>
      <c r="AG31" s="3">
        <f>ROUND($AC31*(1-(SUMIFS(PrefFlows!$C:$C,PrefFlows!$A:$A,$Q$1,PrefFlows!$B:$B,$B31)+$AA31))+$AD31*(1-(SUMIFS(PrefFlows!$C:$C,PrefFlows!$A:$A,$R$1,PrefFlows!$B:$B,$B31)+$AA31))+$AE31*(1-(SUMIFS(PrefFlows!$C:$C,PrefFlows!$A:$A,$S$1,PrefFlows!$B:$B,$B31)+$AA31)),2)</f>
        <v>8.68</v>
      </c>
      <c r="AH31" s="4">
        <f t="shared" si="15"/>
        <v>47.14</v>
      </c>
      <c r="AI31" s="3">
        <f t="shared" si="16"/>
        <v>42.98</v>
      </c>
      <c r="AJ31" s="4">
        <f t="shared" si="17"/>
        <v>52.31</v>
      </c>
      <c r="AK31" s="3">
        <f t="shared" si="17"/>
        <v>47.69</v>
      </c>
      <c r="AL31" s="1">
        <f t="shared" si="0"/>
        <v>0.56999999999999995</v>
      </c>
      <c r="AM31" s="1">
        <f t="shared" si="1"/>
        <v>2.77</v>
      </c>
      <c r="AN31" s="3">
        <f t="shared" si="2"/>
        <v>2.31</v>
      </c>
      <c r="AO31" s="1" t="b">
        <f t="shared" si="18"/>
        <v>0</v>
      </c>
      <c r="AP31" s="1" t="b">
        <f t="shared" si="18"/>
        <v>0</v>
      </c>
      <c r="AQ31" s="3" t="b">
        <f t="shared" si="19"/>
        <v>0</v>
      </c>
      <c r="AR31" s="1">
        <f t="shared" si="20"/>
        <v>2.2000000000000002</v>
      </c>
      <c r="AS31" s="1">
        <f t="shared" si="20"/>
        <v>1.7400000000000002</v>
      </c>
      <c r="AT31" s="3">
        <f t="shared" si="21"/>
        <v>0.45999999999999996</v>
      </c>
      <c r="AU31" s="1">
        <f>ROUND(IF($B31="NSW",L31*Meta!$B$6,L31),1)</f>
        <v>4463</v>
      </c>
      <c r="AV31" s="3">
        <f t="shared" si="3"/>
        <v>95917.3</v>
      </c>
    </row>
    <row r="32" spans="1:48" x14ac:dyDescent="0.55000000000000004">
      <c r="A32" s="2" t="s">
        <v>203</v>
      </c>
      <c r="B32" s="3" t="s">
        <v>16</v>
      </c>
      <c r="C32" s="4">
        <v>20.22</v>
      </c>
      <c r="D32" s="5">
        <v>17.37</v>
      </c>
      <c r="E32" s="5">
        <v>0</v>
      </c>
      <c r="F32" s="5">
        <v>2.79</v>
      </c>
      <c r="G32" s="5">
        <v>9.57</v>
      </c>
      <c r="H32" s="5">
        <v>50.05</v>
      </c>
      <c r="I32" s="4">
        <v>33.83</v>
      </c>
      <c r="J32" s="3">
        <v>66.17</v>
      </c>
      <c r="K32" s="4">
        <v>69150</v>
      </c>
      <c r="L32" s="5">
        <v>1689</v>
      </c>
      <c r="M32" s="3">
        <f t="shared" si="4"/>
        <v>67461</v>
      </c>
      <c r="N32" s="5">
        <f t="shared" si="5"/>
        <v>2.4425162689804773E-2</v>
      </c>
      <c r="O32" s="4">
        <f>ROUND($C32+MIN($D32:$E32)*(1-SUMIFS(PrefFlows!$C:$C,PrefFlows!$A:$A,INDEX($D$1:$E$1,MATCH(MIN($D32:$E32),$D32:$E32,0)),PrefFlows!$B:$B,$B32)),2)</f>
        <v>20.22</v>
      </c>
      <c r="P32" s="5">
        <f>ROUND(MAX($D32:$E32)+MIN($D32:$E32)*SUMIFS(PrefFlows!$C:$C,PrefFlows!$A:$A,INDEX($D$1:$E$1,MATCH(MIN($D32:$E32),$D32:$E32,0)),PrefFlows!$B:$B,$B32),2)</f>
        <v>17.37</v>
      </c>
      <c r="Q32" s="5">
        <f t="shared" si="6"/>
        <v>2.79</v>
      </c>
      <c r="R32" s="5">
        <f t="shared" si="7"/>
        <v>9.57</v>
      </c>
      <c r="S32" s="3">
        <f t="shared" si="8"/>
        <v>50.05</v>
      </c>
      <c r="T32" s="6">
        <f t="shared" si="9"/>
        <v>-2.85</v>
      </c>
      <c r="U32" s="4">
        <f>ROUND($Q32*SUMIFS(PrefFlows!$C:$C,PrefFlows!$A:$A,$Q$1,PrefFlows!$B:$B,$B32)+$R32*SUMIFS(PrefFlows!$C:$C,PrefFlows!$A:$A,$R$1,PrefFlows!$B:$B,$B32)+$S32*SUMIFS(PrefFlows!$C:$C,PrefFlows!$A:$A,$S$1,PrefFlows!$B:$B,$B32),2)</f>
        <v>29.61</v>
      </c>
      <c r="V32" s="3">
        <f>ROUND($Q32*(1-SUMIFS(PrefFlows!$C:$C,PrefFlows!$A:$A,$Q$1,PrefFlows!$B:$B,$B32))+$R32*(1-SUMIFS(PrefFlows!$C:$C,PrefFlows!$A:$A,$R$1,PrefFlows!$B:$B,$B32))+$S32*(1-SUMIFS(PrefFlows!$C:$C,PrefFlows!$A:$A,$S$1,PrefFlows!$B:$B,$B32)),2)</f>
        <v>32.799999999999997</v>
      </c>
      <c r="W32" s="4">
        <f t="shared" si="10"/>
        <v>16.46</v>
      </c>
      <c r="X32" s="3">
        <f t="shared" si="11"/>
        <v>45.95</v>
      </c>
      <c r="Y32" s="4">
        <f t="shared" si="12"/>
        <v>0.47439999999999999</v>
      </c>
      <c r="Z32" s="5">
        <f t="shared" si="13"/>
        <v>0.26369999999999999</v>
      </c>
      <c r="AA32" s="5">
        <f t="shared" si="14"/>
        <v>-0.2107</v>
      </c>
      <c r="AB32" s="3">
        <v>-1.2736157978755E-2</v>
      </c>
      <c r="AC32" s="4">
        <f>ROUND(Q32*(1-(Exhaust!$B$2+AB32)),2)</f>
        <v>1.26</v>
      </c>
      <c r="AD32" s="5">
        <f>ROUND(R32*(1-(Exhaust!$B$3+$AB32)),2)</f>
        <v>5.86</v>
      </c>
      <c r="AE32" s="3">
        <f>ROUND(S32*(1-(Exhaust!$B$4+$AB32)),2)</f>
        <v>25.66</v>
      </c>
      <c r="AF32" s="4">
        <f>ROUND($AC32*(SUMIFS(PrefFlows!$C:$C,PrefFlows!$A:$A,$Q$1,PrefFlows!$B:$B,$B32)+$AA32)+$AD32*(SUMIFS(PrefFlows!$C:$C,PrefFlows!$A:$A,$R$1,PrefFlows!$B:$B,$B32)+$AA32)+$AE32*(SUMIFS(PrefFlows!$C:$C,PrefFlows!$A:$A,$S$1,PrefFlows!$B:$B,$B32)+$AA32),2)</f>
        <v>8.2899999999999991</v>
      </c>
      <c r="AG32" s="3">
        <f>ROUND($AC32*(1-(SUMIFS(PrefFlows!$C:$C,PrefFlows!$A:$A,$Q$1,PrefFlows!$B:$B,$B32)+$AA32))+$AD32*(1-(SUMIFS(PrefFlows!$C:$C,PrefFlows!$A:$A,$R$1,PrefFlows!$B:$B,$B32)+$AA32))+$AE32*(1-(SUMIFS(PrefFlows!$C:$C,PrefFlows!$A:$A,$S$1,PrefFlows!$B:$B,$B32)+$AA32)),2)</f>
        <v>24.49</v>
      </c>
      <c r="AH32" s="4">
        <f t="shared" si="15"/>
        <v>25.66</v>
      </c>
      <c r="AI32" s="3">
        <f t="shared" si="16"/>
        <v>44.71</v>
      </c>
      <c r="AJ32" s="4">
        <f t="shared" si="17"/>
        <v>36.46</v>
      </c>
      <c r="AK32" s="3">
        <f t="shared" si="17"/>
        <v>63.54</v>
      </c>
      <c r="AL32" s="1">
        <f t="shared" si="0"/>
        <v>-16.170000000000002</v>
      </c>
      <c r="AM32" s="1">
        <f t="shared" si="1"/>
        <v>-12.98</v>
      </c>
      <c r="AN32" s="3">
        <f t="shared" si="2"/>
        <v>-13.54</v>
      </c>
      <c r="AO32" s="1" t="b">
        <f t="shared" si="18"/>
        <v>0</v>
      </c>
      <c r="AP32" s="1" t="b">
        <f t="shared" si="18"/>
        <v>0</v>
      </c>
      <c r="AQ32" s="3" t="b">
        <f t="shared" si="19"/>
        <v>0</v>
      </c>
      <c r="AR32" s="1">
        <f t="shared" si="20"/>
        <v>3.1900000000000013</v>
      </c>
      <c r="AS32" s="1">
        <f t="shared" si="20"/>
        <v>2.6300000000000026</v>
      </c>
      <c r="AT32" s="3">
        <f t="shared" si="21"/>
        <v>0.55999999999999872</v>
      </c>
      <c r="AU32" s="1">
        <f>ROUND(IF($B32="NSW",L32*Meta!$B$6,L32),1)</f>
        <v>1689</v>
      </c>
      <c r="AV32" s="3">
        <f t="shared" si="3"/>
        <v>67838.399999999994</v>
      </c>
    </row>
    <row r="33" spans="1:48" x14ac:dyDescent="0.55000000000000004">
      <c r="A33" s="2" t="s">
        <v>41</v>
      </c>
      <c r="B33" s="3" t="s">
        <v>12</v>
      </c>
      <c r="C33" s="4">
        <v>23.1</v>
      </c>
      <c r="D33" s="5">
        <v>63.7</v>
      </c>
      <c r="E33" s="5">
        <v>0</v>
      </c>
      <c r="F33" s="5">
        <v>4.6900000000000004</v>
      </c>
      <c r="G33" s="5">
        <v>6.81</v>
      </c>
      <c r="H33" s="5">
        <v>1.69</v>
      </c>
      <c r="I33" s="4">
        <v>69.02</v>
      </c>
      <c r="J33" s="3">
        <v>30.98</v>
      </c>
      <c r="K33" s="4">
        <v>100164</v>
      </c>
      <c r="L33" s="5">
        <v>6141</v>
      </c>
      <c r="M33" s="3">
        <f t="shared" si="4"/>
        <v>94023</v>
      </c>
      <c r="N33" s="5">
        <f t="shared" si="5"/>
        <v>6.1309452497903441E-2</v>
      </c>
      <c r="O33" s="4">
        <f>ROUND($C33+MIN($D33:$E33)*(1-SUMIFS(PrefFlows!$C:$C,PrefFlows!$A:$A,INDEX($D$1:$E$1,MATCH(MIN($D33:$E33),$D33:$E33,0)),PrefFlows!$B:$B,$B33)),2)</f>
        <v>23.1</v>
      </c>
      <c r="P33" s="5">
        <f>ROUND(MAX($D33:$E33)+MIN($D33:$E33)*SUMIFS(PrefFlows!$C:$C,PrefFlows!$A:$A,INDEX($D$1:$E$1,MATCH(MIN($D33:$E33),$D33:$E33,0)),PrefFlows!$B:$B,$B33),2)</f>
        <v>63.7</v>
      </c>
      <c r="Q33" s="5">
        <f t="shared" si="6"/>
        <v>4.6900000000000004</v>
      </c>
      <c r="R33" s="5">
        <f t="shared" si="7"/>
        <v>6.81</v>
      </c>
      <c r="S33" s="3">
        <f t="shared" si="8"/>
        <v>1.69</v>
      </c>
      <c r="T33" s="6">
        <f t="shared" si="9"/>
        <v>40.6</v>
      </c>
      <c r="U33" s="4">
        <f>ROUND($Q33*SUMIFS(PrefFlows!$C:$C,PrefFlows!$A:$A,$Q$1,PrefFlows!$B:$B,$B33)+$R33*SUMIFS(PrefFlows!$C:$C,PrefFlows!$A:$A,$R$1,PrefFlows!$B:$B,$B33)+$S33*SUMIFS(PrefFlows!$C:$C,PrefFlows!$A:$A,$S$1,PrefFlows!$B:$B,$B33),2)</f>
        <v>5.1100000000000003</v>
      </c>
      <c r="V33" s="3">
        <f>ROUND($Q33*(1-SUMIFS(PrefFlows!$C:$C,PrefFlows!$A:$A,$Q$1,PrefFlows!$B:$B,$B33))+$R33*(1-SUMIFS(PrefFlows!$C:$C,PrefFlows!$A:$A,$R$1,PrefFlows!$B:$B,$B33))+$S33*(1-SUMIFS(PrefFlows!$C:$C,PrefFlows!$A:$A,$S$1,PrefFlows!$B:$B,$B33)),2)</f>
        <v>8.08</v>
      </c>
      <c r="W33" s="4">
        <f t="shared" si="10"/>
        <v>5.32</v>
      </c>
      <c r="X33" s="3">
        <f t="shared" si="11"/>
        <v>7.88</v>
      </c>
      <c r="Y33" s="4">
        <f t="shared" si="12"/>
        <v>0.38740000000000002</v>
      </c>
      <c r="Z33" s="5">
        <f t="shared" si="13"/>
        <v>0.40300000000000002</v>
      </c>
      <c r="AA33" s="5">
        <f t="shared" si="14"/>
        <v>1.5599999999999999E-2</v>
      </c>
      <c r="AB33" s="3">
        <v>1.2267972265124201E-2</v>
      </c>
      <c r="AC33" s="4">
        <f>ROUND(Q33*(1-(Exhaust!$B$2+AB33)),2)</f>
        <v>2.0099999999999998</v>
      </c>
      <c r="AD33" s="5">
        <f>ROUND(R33*(1-(Exhaust!$B$3+$AB33)),2)</f>
        <v>4</v>
      </c>
      <c r="AE33" s="3">
        <f>ROUND(S33*(1-(Exhaust!$B$4+$AB33)),2)</f>
        <v>0.82</v>
      </c>
      <c r="AF33" s="4">
        <f>ROUND($AC33*(SUMIFS(PrefFlows!$C:$C,PrefFlows!$A:$A,$Q$1,PrefFlows!$B:$B,$B33)+$AA33)+$AD33*(SUMIFS(PrefFlows!$C:$C,PrefFlows!$A:$A,$R$1,PrefFlows!$B:$B,$B33)+$AA33)+$AE33*(SUMIFS(PrefFlows!$C:$C,PrefFlows!$A:$A,$S$1,PrefFlows!$B:$B,$B33)+$AA33),2)</f>
        <v>2.54</v>
      </c>
      <c r="AG33" s="3">
        <f>ROUND($AC33*(1-(SUMIFS(PrefFlows!$C:$C,PrefFlows!$A:$A,$Q$1,PrefFlows!$B:$B,$B33)+$AA33))+$AD33*(1-(SUMIFS(PrefFlows!$C:$C,PrefFlows!$A:$A,$R$1,PrefFlows!$B:$B,$B33)+$AA33))+$AE33*(1-(SUMIFS(PrefFlows!$C:$C,PrefFlows!$A:$A,$S$1,PrefFlows!$B:$B,$B33)+$AA33)),2)</f>
        <v>4.29</v>
      </c>
      <c r="AH33" s="4">
        <f t="shared" si="15"/>
        <v>66.239999999999995</v>
      </c>
      <c r="AI33" s="3">
        <f t="shared" si="16"/>
        <v>27.39</v>
      </c>
      <c r="AJ33" s="4">
        <f t="shared" si="17"/>
        <v>70.75</v>
      </c>
      <c r="AK33" s="3">
        <f t="shared" si="17"/>
        <v>29.25</v>
      </c>
      <c r="AL33" s="1">
        <f t="shared" si="0"/>
        <v>19.02</v>
      </c>
      <c r="AM33" s="1">
        <f t="shared" si="1"/>
        <v>20.96</v>
      </c>
      <c r="AN33" s="3">
        <f t="shared" si="2"/>
        <v>20.75</v>
      </c>
      <c r="AO33" s="1" t="b">
        <f t="shared" si="18"/>
        <v>0</v>
      </c>
      <c r="AP33" s="1" t="b">
        <f t="shared" si="18"/>
        <v>0</v>
      </c>
      <c r="AQ33" s="3" t="b">
        <f t="shared" si="19"/>
        <v>0</v>
      </c>
      <c r="AR33" s="1">
        <f t="shared" si="20"/>
        <v>1.9400000000000013</v>
      </c>
      <c r="AS33" s="1">
        <f t="shared" si="20"/>
        <v>1.7300000000000004</v>
      </c>
      <c r="AT33" s="3">
        <f t="shared" si="21"/>
        <v>0.21000000000000085</v>
      </c>
      <c r="AU33" s="1">
        <f>ROUND(IF($B33="NSW",L33*Meta!$B$6,L33),1)</f>
        <v>4083.8</v>
      </c>
      <c r="AV33" s="3">
        <f t="shared" si="3"/>
        <v>96992.8</v>
      </c>
    </row>
    <row r="34" spans="1:48" x14ac:dyDescent="0.55000000000000004">
      <c r="A34" s="2" t="s">
        <v>204</v>
      </c>
      <c r="B34" s="3" t="s">
        <v>9</v>
      </c>
      <c r="C34" s="4">
        <v>46.78</v>
      </c>
      <c r="D34" s="5">
        <v>19.5</v>
      </c>
      <c r="E34" s="5">
        <v>0</v>
      </c>
      <c r="F34" s="5">
        <v>1.94</v>
      </c>
      <c r="G34" s="5">
        <v>21.14</v>
      </c>
      <c r="H34" s="5">
        <v>10.64</v>
      </c>
      <c r="I34" s="4">
        <v>23.68</v>
      </c>
      <c r="J34" s="3">
        <v>76.319999999999993</v>
      </c>
      <c r="K34" s="4">
        <v>102467</v>
      </c>
      <c r="L34" s="5">
        <v>4986</v>
      </c>
      <c r="M34" s="3">
        <f t="shared" si="4"/>
        <v>97481</v>
      </c>
      <c r="N34" s="5">
        <f t="shared" si="5"/>
        <v>4.8659568446426653E-2</v>
      </c>
      <c r="O34" s="4">
        <f>ROUND($C34+MIN($D34:$E34)*(1-SUMIFS(PrefFlows!$C:$C,PrefFlows!$A:$A,INDEX($D$1:$E$1,MATCH(MIN($D34:$E34),$D34:$E34,0)),PrefFlows!$B:$B,$B34)),2)</f>
        <v>46.78</v>
      </c>
      <c r="P34" s="5">
        <f>ROUND(MAX($D34:$E34)+MIN($D34:$E34)*SUMIFS(PrefFlows!$C:$C,PrefFlows!$A:$A,INDEX($D$1:$E$1,MATCH(MIN($D34:$E34),$D34:$E34,0)),PrefFlows!$B:$B,$B34),2)</f>
        <v>19.5</v>
      </c>
      <c r="Q34" s="5">
        <f t="shared" si="6"/>
        <v>1.94</v>
      </c>
      <c r="R34" s="5">
        <f t="shared" si="7"/>
        <v>21.14</v>
      </c>
      <c r="S34" s="3">
        <f t="shared" si="8"/>
        <v>10.64</v>
      </c>
      <c r="T34" s="6">
        <f t="shared" si="9"/>
        <v>-27.28</v>
      </c>
      <c r="U34" s="4">
        <f>ROUND($Q34*SUMIFS(PrefFlows!$C:$C,PrefFlows!$A:$A,$Q$1,PrefFlows!$B:$B,$B34)+$R34*SUMIFS(PrefFlows!$C:$C,PrefFlows!$A:$A,$R$1,PrefFlows!$B:$B,$B34)+$S34*SUMIFS(PrefFlows!$C:$C,PrefFlows!$A:$A,$S$1,PrefFlows!$B:$B,$B34),2)</f>
        <v>10.32</v>
      </c>
      <c r="V34" s="3">
        <f>ROUND($Q34*(1-SUMIFS(PrefFlows!$C:$C,PrefFlows!$A:$A,$Q$1,PrefFlows!$B:$B,$B34))+$R34*(1-SUMIFS(PrefFlows!$C:$C,PrefFlows!$A:$A,$R$1,PrefFlows!$B:$B,$B34))+$S34*(1-SUMIFS(PrefFlows!$C:$C,PrefFlows!$A:$A,$S$1,PrefFlows!$B:$B,$B34)),2)</f>
        <v>23.4</v>
      </c>
      <c r="W34" s="4">
        <f t="shared" si="10"/>
        <v>4.18</v>
      </c>
      <c r="X34" s="3">
        <f t="shared" si="11"/>
        <v>29.54</v>
      </c>
      <c r="Y34" s="4">
        <f t="shared" si="12"/>
        <v>0.30599999999999999</v>
      </c>
      <c r="Z34" s="5">
        <f t="shared" si="13"/>
        <v>0.124</v>
      </c>
      <c r="AA34" s="5">
        <f t="shared" si="14"/>
        <v>-0.182</v>
      </c>
      <c r="AB34" s="3">
        <v>-1.37487559525022E-2</v>
      </c>
      <c r="AC34" s="4">
        <f>ROUND(Q34*(1-(Exhaust!$B$2+AB34)),2)</f>
        <v>0.88</v>
      </c>
      <c r="AD34" s="5">
        <f>ROUND(R34*(1-(Exhaust!$B$3+$AB34)),2)</f>
        <v>12.97</v>
      </c>
      <c r="AE34" s="3">
        <f>ROUND(S34*(1-(Exhaust!$B$4+$AB34)),2)</f>
        <v>5.47</v>
      </c>
      <c r="AF34" s="4">
        <f>ROUND($AC34*(SUMIFS(PrefFlows!$C:$C,PrefFlows!$A:$A,$Q$1,PrefFlows!$B:$B,$B34)+$AA34)+$AD34*(SUMIFS(PrefFlows!$C:$C,PrefFlows!$A:$A,$R$1,PrefFlows!$B:$B,$B34)+$AA34)+$AE34*(SUMIFS(PrefFlows!$C:$C,PrefFlows!$A:$A,$S$1,PrefFlows!$B:$B,$B34)+$AA34),2)</f>
        <v>2.0499999999999998</v>
      </c>
      <c r="AG34" s="3">
        <f>ROUND($AC34*(1-(SUMIFS(PrefFlows!$C:$C,PrefFlows!$A:$A,$Q$1,PrefFlows!$B:$B,$B34)+$AA34))+$AD34*(1-(SUMIFS(PrefFlows!$C:$C,PrefFlows!$A:$A,$R$1,PrefFlows!$B:$B,$B34)+$AA34))+$AE34*(1-(SUMIFS(PrefFlows!$C:$C,PrefFlows!$A:$A,$S$1,PrefFlows!$B:$B,$B34)+$AA34)),2)</f>
        <v>17.27</v>
      </c>
      <c r="AH34" s="4">
        <f t="shared" si="15"/>
        <v>21.55</v>
      </c>
      <c r="AI34" s="3">
        <f t="shared" si="16"/>
        <v>64.05</v>
      </c>
      <c r="AJ34" s="4">
        <f t="shared" si="17"/>
        <v>25.18</v>
      </c>
      <c r="AK34" s="3">
        <f t="shared" si="17"/>
        <v>74.819999999999993</v>
      </c>
      <c r="AL34" s="1">
        <f t="shared" ref="AL34:AL65" si="22">ROUND(I34-50,2)</f>
        <v>-26.32</v>
      </c>
      <c r="AM34" s="1">
        <f t="shared" ref="AM34:AM65" si="23">ROUND((P34+W34*0.52)/((P34+W34*0.52)+(O34+X34*0.52))*100-50,2)</f>
        <v>-24.14</v>
      </c>
      <c r="AN34" s="3">
        <f t="shared" ref="AN34:AN65" si="24">ROUND(AJ34-50,2)</f>
        <v>-24.82</v>
      </c>
      <c r="AO34" s="1" t="b">
        <f t="shared" si="18"/>
        <v>0</v>
      </c>
      <c r="AP34" s="1" t="b">
        <f t="shared" si="18"/>
        <v>0</v>
      </c>
      <c r="AQ34" s="3" t="b">
        <f t="shared" si="19"/>
        <v>0</v>
      </c>
      <c r="AR34" s="1">
        <f t="shared" si="20"/>
        <v>2.1799999999999997</v>
      </c>
      <c r="AS34" s="1">
        <f t="shared" si="20"/>
        <v>1.5</v>
      </c>
      <c r="AT34" s="3">
        <f t="shared" si="21"/>
        <v>0.67999999999999972</v>
      </c>
      <c r="AU34" s="1">
        <f>ROUND(IF($B34="NSW",L34*Meta!$B$6,L34),1)</f>
        <v>4986</v>
      </c>
      <c r="AV34" s="3">
        <f t="shared" ref="AV34:AV65" si="25">ROUND((K34-AU34*($AU$154/$AU$153))*SUM($AJ34:$AK34)/100,1)</f>
        <v>98595.199999999997</v>
      </c>
    </row>
    <row r="35" spans="1:48" x14ac:dyDescent="0.55000000000000004">
      <c r="A35" s="2" t="s">
        <v>42</v>
      </c>
      <c r="B35" s="3" t="s">
        <v>9</v>
      </c>
      <c r="C35" s="4">
        <v>35.47</v>
      </c>
      <c r="D35" s="5">
        <v>42.33</v>
      </c>
      <c r="E35" s="5">
        <v>0</v>
      </c>
      <c r="F35" s="5">
        <v>2.2200000000000002</v>
      </c>
      <c r="G35" s="5">
        <v>9.0399999999999991</v>
      </c>
      <c r="H35" s="5">
        <v>10.94</v>
      </c>
      <c r="I35" s="4">
        <v>48.93</v>
      </c>
      <c r="J35" s="3">
        <v>51.07</v>
      </c>
      <c r="K35" s="4">
        <v>105816</v>
      </c>
      <c r="L35" s="5">
        <v>4196</v>
      </c>
      <c r="M35" s="3">
        <f t="shared" si="4"/>
        <v>101620</v>
      </c>
      <c r="N35" s="5">
        <f t="shared" si="5"/>
        <v>3.9653738565056322E-2</v>
      </c>
      <c r="O35" s="4">
        <f>ROUND($C35+MIN($D35:$E35)*(1-SUMIFS(PrefFlows!$C:$C,PrefFlows!$A:$A,INDEX($D$1:$E$1,MATCH(MIN($D35:$E35),$D35:$E35,0)),PrefFlows!$B:$B,$B35)),2)</f>
        <v>35.47</v>
      </c>
      <c r="P35" s="5">
        <f>ROUND(MAX($D35:$E35)+MIN($D35:$E35)*SUMIFS(PrefFlows!$C:$C,PrefFlows!$A:$A,INDEX($D$1:$E$1,MATCH(MIN($D35:$E35),$D35:$E35,0)),PrefFlows!$B:$B,$B35),2)</f>
        <v>42.33</v>
      </c>
      <c r="Q35" s="5">
        <f t="shared" ref="Q35:Q66" si="26">ROUND(F35,2)</f>
        <v>2.2200000000000002</v>
      </c>
      <c r="R35" s="5">
        <f t="shared" ref="R35:R66" si="27">ROUND(G35,2)</f>
        <v>9.0399999999999991</v>
      </c>
      <c r="S35" s="3">
        <f t="shared" si="8"/>
        <v>10.94</v>
      </c>
      <c r="T35" s="6">
        <f t="shared" si="9"/>
        <v>6.86</v>
      </c>
      <c r="U35" s="4">
        <f>ROUND($Q35*SUMIFS(PrefFlows!$C:$C,PrefFlows!$A:$A,$Q$1,PrefFlows!$B:$B,$B35)+$R35*SUMIFS(PrefFlows!$C:$C,PrefFlows!$A:$A,$R$1,PrefFlows!$B:$B,$B35)+$S35*SUMIFS(PrefFlows!$C:$C,PrefFlows!$A:$A,$S$1,PrefFlows!$B:$B,$B35),2)</f>
        <v>8.76</v>
      </c>
      <c r="V35" s="3">
        <f>ROUND($Q35*(1-SUMIFS(PrefFlows!$C:$C,PrefFlows!$A:$A,$Q$1,PrefFlows!$B:$B,$B35))+$R35*(1-SUMIFS(PrefFlows!$C:$C,PrefFlows!$A:$A,$R$1,PrefFlows!$B:$B,$B35))+$S35*(1-SUMIFS(PrefFlows!$C:$C,PrefFlows!$A:$A,$S$1,PrefFlows!$B:$B,$B35)),2)</f>
        <v>13.44</v>
      </c>
      <c r="W35" s="4">
        <f t="shared" si="10"/>
        <v>6.6</v>
      </c>
      <c r="X35" s="3">
        <f t="shared" si="11"/>
        <v>15.6</v>
      </c>
      <c r="Y35" s="4">
        <f t="shared" si="12"/>
        <v>0.39460000000000001</v>
      </c>
      <c r="Z35" s="5">
        <f t="shared" si="13"/>
        <v>0.29730000000000001</v>
      </c>
      <c r="AA35" s="5">
        <f t="shared" si="14"/>
        <v>-9.7299999999999998E-2</v>
      </c>
      <c r="AB35" s="3">
        <v>4.3952884562093904E-3</v>
      </c>
      <c r="AC35" s="4">
        <f>ROUND(Q35*(1-(Exhaust!$B$2+AB35)),2)</f>
        <v>0.97</v>
      </c>
      <c r="AD35" s="5">
        <f>ROUND(R35*(1-(Exhaust!$B$3+$AB35)),2)</f>
        <v>5.38</v>
      </c>
      <c r="AE35" s="3">
        <f>ROUND(S35*(1-(Exhaust!$B$4+$AB35)),2)</f>
        <v>5.42</v>
      </c>
      <c r="AF35" s="4">
        <f>ROUND($AC35*(SUMIFS(PrefFlows!$C:$C,PrefFlows!$A:$A,$Q$1,PrefFlows!$B:$B,$B35)+$AA35)+$AD35*(SUMIFS(PrefFlows!$C:$C,PrefFlows!$A:$A,$R$1,PrefFlows!$B:$B,$B35)+$AA35)+$AE35*(SUMIFS(PrefFlows!$C:$C,PrefFlows!$A:$A,$S$1,PrefFlows!$B:$B,$B35)+$AA35),2)</f>
        <v>3.25</v>
      </c>
      <c r="AG35" s="3">
        <f>ROUND($AC35*(1-(SUMIFS(PrefFlows!$C:$C,PrefFlows!$A:$A,$Q$1,PrefFlows!$B:$B,$B35)+$AA35))+$AD35*(1-(SUMIFS(PrefFlows!$C:$C,PrefFlows!$A:$A,$R$1,PrefFlows!$B:$B,$B35)+$AA35))+$AE35*(1-(SUMIFS(PrefFlows!$C:$C,PrefFlows!$A:$A,$S$1,PrefFlows!$B:$B,$B35)+$AA35)),2)</f>
        <v>8.52</v>
      </c>
      <c r="AH35" s="4">
        <f t="shared" si="15"/>
        <v>45.58</v>
      </c>
      <c r="AI35" s="3">
        <f t="shared" si="16"/>
        <v>43.99</v>
      </c>
      <c r="AJ35" s="4">
        <f t="shared" si="17"/>
        <v>50.89</v>
      </c>
      <c r="AK35" s="3">
        <f t="shared" si="17"/>
        <v>49.11</v>
      </c>
      <c r="AL35" s="1">
        <f t="shared" si="22"/>
        <v>-1.07</v>
      </c>
      <c r="AM35" s="1">
        <f t="shared" si="23"/>
        <v>1.22</v>
      </c>
      <c r="AN35" s="3">
        <f t="shared" si="24"/>
        <v>0.89</v>
      </c>
      <c r="AO35" s="1" t="b">
        <f t="shared" si="18"/>
        <v>1</v>
      </c>
      <c r="AP35" s="1" t="b">
        <f t="shared" si="18"/>
        <v>1</v>
      </c>
      <c r="AQ35" s="3" t="b">
        <f t="shared" si="19"/>
        <v>0</v>
      </c>
      <c r="AR35" s="1">
        <f t="shared" si="20"/>
        <v>2.29</v>
      </c>
      <c r="AS35" s="1">
        <f t="shared" si="20"/>
        <v>1.96</v>
      </c>
      <c r="AT35" s="3">
        <f t="shared" si="21"/>
        <v>0.32999999999999996</v>
      </c>
      <c r="AU35" s="1">
        <f>ROUND(IF($B35="NSW",L35*Meta!$B$6,L35),1)</f>
        <v>4196</v>
      </c>
      <c r="AV35" s="3">
        <f t="shared" si="25"/>
        <v>102557.7</v>
      </c>
    </row>
    <row r="36" spans="1:48" x14ac:dyDescent="0.55000000000000004">
      <c r="A36" s="2" t="s">
        <v>43</v>
      </c>
      <c r="B36" s="3" t="s">
        <v>9</v>
      </c>
      <c r="C36" s="4">
        <v>47.6</v>
      </c>
      <c r="D36" s="5">
        <v>33.85</v>
      </c>
      <c r="E36" s="5">
        <v>0</v>
      </c>
      <c r="F36" s="5">
        <v>5.48</v>
      </c>
      <c r="G36" s="5">
        <v>13.07</v>
      </c>
      <c r="H36" s="5">
        <v>0</v>
      </c>
      <c r="I36" s="4">
        <v>39.68</v>
      </c>
      <c r="J36" s="3">
        <v>60.32</v>
      </c>
      <c r="K36" s="4">
        <v>102400</v>
      </c>
      <c r="L36" s="5">
        <v>3648</v>
      </c>
      <c r="M36" s="3">
        <f t="shared" si="4"/>
        <v>98752</v>
      </c>
      <c r="N36" s="5">
        <f t="shared" si="5"/>
        <v>3.5624999999999997E-2</v>
      </c>
      <c r="O36" s="4">
        <f>ROUND($C36+MIN($D36:$E36)*(1-SUMIFS(PrefFlows!$C:$C,PrefFlows!$A:$A,INDEX($D$1:$E$1,MATCH(MIN($D36:$E36),$D36:$E36,0)),PrefFlows!$B:$B,$B36)),2)</f>
        <v>47.6</v>
      </c>
      <c r="P36" s="5">
        <f>ROUND(MAX($D36:$E36)+MIN($D36:$E36)*SUMIFS(PrefFlows!$C:$C,PrefFlows!$A:$A,INDEX($D$1:$E$1,MATCH(MIN($D36:$E36),$D36:$E36,0)),PrefFlows!$B:$B,$B36),2)</f>
        <v>33.85</v>
      </c>
      <c r="Q36" s="5">
        <f t="shared" si="26"/>
        <v>5.48</v>
      </c>
      <c r="R36" s="5">
        <f t="shared" si="27"/>
        <v>13.07</v>
      </c>
      <c r="S36" s="3">
        <f t="shared" si="8"/>
        <v>0</v>
      </c>
      <c r="T36" s="6">
        <f t="shared" si="9"/>
        <v>-13.75</v>
      </c>
      <c r="U36" s="4">
        <f>ROUND($Q36*SUMIFS(PrefFlows!$C:$C,PrefFlows!$A:$A,$Q$1,PrefFlows!$B:$B,$B36)+$R36*SUMIFS(PrefFlows!$C:$C,PrefFlows!$A:$A,$R$1,PrefFlows!$B:$B,$B36)+$S36*SUMIFS(PrefFlows!$C:$C,PrefFlows!$A:$A,$S$1,PrefFlows!$B:$B,$B36),2)</f>
        <v>5.56</v>
      </c>
      <c r="V36" s="3">
        <f>ROUND($Q36*(1-SUMIFS(PrefFlows!$C:$C,PrefFlows!$A:$A,$Q$1,PrefFlows!$B:$B,$B36))+$R36*(1-SUMIFS(PrefFlows!$C:$C,PrefFlows!$A:$A,$R$1,PrefFlows!$B:$B,$B36))+$S36*(1-SUMIFS(PrefFlows!$C:$C,PrefFlows!$A:$A,$S$1,PrefFlows!$B:$B,$B36)),2)</f>
        <v>12.99</v>
      </c>
      <c r="W36" s="4">
        <f t="shared" si="10"/>
        <v>5.83</v>
      </c>
      <c r="X36" s="3">
        <f t="shared" si="11"/>
        <v>12.72</v>
      </c>
      <c r="Y36" s="4">
        <f t="shared" si="12"/>
        <v>0.29970000000000002</v>
      </c>
      <c r="Z36" s="5">
        <f t="shared" si="13"/>
        <v>0.31430000000000002</v>
      </c>
      <c r="AA36" s="5">
        <f t="shared" si="14"/>
        <v>1.46E-2</v>
      </c>
      <c r="AB36" s="3">
        <v>2.5402446059853701E-2</v>
      </c>
      <c r="AC36" s="4">
        <f>ROUND(Q36*(1-(Exhaust!$B$2+AB36)),2)</f>
        <v>2.27</v>
      </c>
      <c r="AD36" s="5">
        <f>ROUND(R36*(1-(Exhaust!$B$3+$AB36)),2)</f>
        <v>7.51</v>
      </c>
      <c r="AE36" s="3">
        <f>ROUND(S36*(1-(Exhaust!$B$4+$AB36)),2)</f>
        <v>0</v>
      </c>
      <c r="AF36" s="4">
        <f>ROUND($AC36*(SUMIFS(PrefFlows!$C:$C,PrefFlows!$A:$A,$Q$1,PrefFlows!$B:$B,$B36)+$AA36)+$AD36*(SUMIFS(PrefFlows!$C:$C,PrefFlows!$A:$A,$R$1,PrefFlows!$B:$B,$B36)+$AA36)+$AE36*(SUMIFS(PrefFlows!$C:$C,PrefFlows!$A:$A,$S$1,PrefFlows!$B:$B,$B36)+$AA36),2)</f>
        <v>2.78</v>
      </c>
      <c r="AG36" s="3">
        <f>ROUND($AC36*(1-(SUMIFS(PrefFlows!$C:$C,PrefFlows!$A:$A,$Q$1,PrefFlows!$B:$B,$B36)+$AA36))+$AD36*(1-(SUMIFS(PrefFlows!$C:$C,PrefFlows!$A:$A,$R$1,PrefFlows!$B:$B,$B36)+$AA36))+$AE36*(1-(SUMIFS(PrefFlows!$C:$C,PrefFlows!$A:$A,$S$1,PrefFlows!$B:$B,$B36)+$AA36)),2)</f>
        <v>7</v>
      </c>
      <c r="AH36" s="4">
        <f t="shared" si="15"/>
        <v>36.630000000000003</v>
      </c>
      <c r="AI36" s="3">
        <f t="shared" si="16"/>
        <v>54.6</v>
      </c>
      <c r="AJ36" s="4">
        <f t="shared" si="17"/>
        <v>40.15</v>
      </c>
      <c r="AK36" s="3">
        <f t="shared" si="17"/>
        <v>59.85</v>
      </c>
      <c r="AL36" s="1">
        <f t="shared" si="22"/>
        <v>-10.32</v>
      </c>
      <c r="AM36" s="1">
        <f t="shared" si="23"/>
        <v>-9.51</v>
      </c>
      <c r="AN36" s="3">
        <f t="shared" si="24"/>
        <v>-9.85</v>
      </c>
      <c r="AO36" s="1" t="b">
        <f t="shared" si="18"/>
        <v>0</v>
      </c>
      <c r="AP36" s="1" t="b">
        <f t="shared" si="18"/>
        <v>0</v>
      </c>
      <c r="AQ36" s="3" t="b">
        <f t="shared" si="19"/>
        <v>0</v>
      </c>
      <c r="AR36" s="1">
        <f t="shared" si="20"/>
        <v>0.8100000000000005</v>
      </c>
      <c r="AS36" s="1">
        <f t="shared" si="20"/>
        <v>0.47000000000000064</v>
      </c>
      <c r="AT36" s="3">
        <f t="shared" si="21"/>
        <v>0.33999999999999986</v>
      </c>
      <c r="AU36" s="1">
        <f>ROUND(IF($B36="NSW",L36*Meta!$B$6,L36),1)</f>
        <v>3648</v>
      </c>
      <c r="AV36" s="3">
        <f t="shared" si="25"/>
        <v>99567.2</v>
      </c>
    </row>
    <row r="37" spans="1:48" x14ac:dyDescent="0.55000000000000004">
      <c r="A37" s="2" t="s">
        <v>44</v>
      </c>
      <c r="B37" s="3" t="s">
        <v>29</v>
      </c>
      <c r="C37" s="4">
        <v>38.130000000000003</v>
      </c>
      <c r="D37" s="5">
        <v>39.409999999999997</v>
      </c>
      <c r="E37" s="5">
        <v>0</v>
      </c>
      <c r="F37" s="5">
        <v>8.19</v>
      </c>
      <c r="G37" s="5">
        <v>10.08</v>
      </c>
      <c r="H37" s="5">
        <v>4.2</v>
      </c>
      <c r="I37" s="4">
        <v>49.17</v>
      </c>
      <c r="J37" s="3">
        <v>50.83</v>
      </c>
      <c r="K37" s="4">
        <v>89703</v>
      </c>
      <c r="L37" s="5">
        <v>4850</v>
      </c>
      <c r="M37" s="3">
        <f t="shared" si="4"/>
        <v>84853</v>
      </c>
      <c r="N37" s="5">
        <f t="shared" si="5"/>
        <v>5.4067311015239178E-2</v>
      </c>
      <c r="O37" s="4">
        <f>ROUND($C37+MIN($D37:$E37)*(1-SUMIFS(PrefFlows!$C:$C,PrefFlows!$A:$A,INDEX($D$1:$E$1,MATCH(MIN($D37:$E37),$D37:$E37,0)),PrefFlows!$B:$B,$B37)),2)</f>
        <v>38.130000000000003</v>
      </c>
      <c r="P37" s="5">
        <f>ROUND(MAX($D37:$E37)+MIN($D37:$E37)*SUMIFS(PrefFlows!$C:$C,PrefFlows!$A:$A,INDEX($D$1:$E$1,MATCH(MIN($D37:$E37),$D37:$E37,0)),PrefFlows!$B:$B,$B37),2)</f>
        <v>39.409999999999997</v>
      </c>
      <c r="Q37" s="5">
        <f t="shared" si="26"/>
        <v>8.19</v>
      </c>
      <c r="R37" s="5">
        <f t="shared" si="27"/>
        <v>10.08</v>
      </c>
      <c r="S37" s="3">
        <f t="shared" si="8"/>
        <v>4.2</v>
      </c>
      <c r="T37" s="6">
        <f t="shared" si="9"/>
        <v>1.28</v>
      </c>
      <c r="U37" s="4">
        <f>ROUND($Q37*SUMIFS(PrefFlows!$C:$C,PrefFlows!$A:$A,$Q$1,PrefFlows!$B:$B,$B37)+$R37*SUMIFS(PrefFlows!$C:$C,PrefFlows!$A:$A,$R$1,PrefFlows!$B:$B,$B37)+$S37*SUMIFS(PrefFlows!$C:$C,PrefFlows!$A:$A,$S$1,PrefFlows!$B:$B,$B37),2)</f>
        <v>9.4499999999999993</v>
      </c>
      <c r="V37" s="3">
        <f>ROUND($Q37*(1-SUMIFS(PrefFlows!$C:$C,PrefFlows!$A:$A,$Q$1,PrefFlows!$B:$B,$B37))+$R37*(1-SUMIFS(PrefFlows!$C:$C,PrefFlows!$A:$A,$R$1,PrefFlows!$B:$B,$B37))+$S37*(1-SUMIFS(PrefFlows!$C:$C,PrefFlows!$A:$A,$S$1,PrefFlows!$B:$B,$B37)),2)</f>
        <v>13.02</v>
      </c>
      <c r="W37" s="4">
        <f t="shared" si="10"/>
        <v>9.76</v>
      </c>
      <c r="X37" s="3">
        <f t="shared" si="11"/>
        <v>12.7</v>
      </c>
      <c r="Y37" s="4">
        <f t="shared" si="12"/>
        <v>0.42059999999999997</v>
      </c>
      <c r="Z37" s="5">
        <f t="shared" si="13"/>
        <v>0.43459999999999999</v>
      </c>
      <c r="AA37" s="5">
        <f t="shared" si="14"/>
        <v>1.4E-2</v>
      </c>
      <c r="AB37" s="3">
        <v>3.3377504261258198E-2</v>
      </c>
      <c r="AC37" s="4">
        <f>ROUND(Q37*(1-(Exhaust!$B$2+AB37)),2)</f>
        <v>3.33</v>
      </c>
      <c r="AD37" s="5">
        <f>ROUND(R37*(1-(Exhaust!$B$3+$AB37)),2)</f>
        <v>5.71</v>
      </c>
      <c r="AE37" s="3">
        <f>ROUND(S37*(1-(Exhaust!$B$4+$AB37)),2)</f>
        <v>1.96</v>
      </c>
      <c r="AF37" s="4">
        <f>ROUND($AC37*(SUMIFS(PrefFlows!$C:$C,PrefFlows!$A:$A,$Q$1,PrefFlows!$B:$B,$B37)+$AA37)+$AD37*(SUMIFS(PrefFlows!$C:$C,PrefFlows!$A:$A,$R$1,PrefFlows!$B:$B,$B37)+$AA37)+$AE37*(SUMIFS(PrefFlows!$C:$C,PrefFlows!$A:$A,$S$1,PrefFlows!$B:$B,$B37)+$AA37),2)</f>
        <v>4.45</v>
      </c>
      <c r="AG37" s="3">
        <f>ROUND($AC37*(1-(SUMIFS(PrefFlows!$C:$C,PrefFlows!$A:$A,$Q$1,PrefFlows!$B:$B,$B37)+$AA37))+$AD37*(1-(SUMIFS(PrefFlows!$C:$C,PrefFlows!$A:$A,$R$1,PrefFlows!$B:$B,$B37)+$AA37))+$AE37*(1-(SUMIFS(PrefFlows!$C:$C,PrefFlows!$A:$A,$S$1,PrefFlows!$B:$B,$B37)+$AA37)),2)</f>
        <v>6.55</v>
      </c>
      <c r="AH37" s="4">
        <f t="shared" si="15"/>
        <v>43.86</v>
      </c>
      <c r="AI37" s="3">
        <f t="shared" si="16"/>
        <v>44.68</v>
      </c>
      <c r="AJ37" s="4">
        <f t="shared" si="17"/>
        <v>49.54</v>
      </c>
      <c r="AK37" s="3">
        <f t="shared" si="17"/>
        <v>50.46</v>
      </c>
      <c r="AL37" s="1">
        <f t="shared" si="22"/>
        <v>-0.83</v>
      </c>
      <c r="AM37" s="1">
        <f t="shared" si="23"/>
        <v>-0.14000000000000001</v>
      </c>
      <c r="AN37" s="3">
        <f t="shared" si="24"/>
        <v>-0.46</v>
      </c>
      <c r="AO37" s="1" t="b">
        <f t="shared" si="18"/>
        <v>0</v>
      </c>
      <c r="AP37" s="1" t="b">
        <f t="shared" si="18"/>
        <v>0</v>
      </c>
      <c r="AQ37" s="3" t="b">
        <f t="shared" si="19"/>
        <v>0</v>
      </c>
      <c r="AR37" s="1">
        <f t="shared" si="20"/>
        <v>0.69</v>
      </c>
      <c r="AS37" s="1">
        <f t="shared" si="20"/>
        <v>0.36999999999999994</v>
      </c>
      <c r="AT37" s="3">
        <f t="shared" si="21"/>
        <v>0.32</v>
      </c>
      <c r="AU37" s="1">
        <f>ROUND(IF($B37="NSW",L37*Meta!$B$6,L37),1)</f>
        <v>4850</v>
      </c>
      <c r="AV37" s="3">
        <f t="shared" si="25"/>
        <v>85936.8</v>
      </c>
    </row>
    <row r="38" spans="1:48" x14ac:dyDescent="0.55000000000000004">
      <c r="A38" s="2" t="s">
        <v>45</v>
      </c>
      <c r="B38" s="3" t="s">
        <v>12</v>
      </c>
      <c r="C38" s="4">
        <v>13.79</v>
      </c>
      <c r="D38" s="5">
        <v>0</v>
      </c>
      <c r="E38" s="5">
        <v>47.07</v>
      </c>
      <c r="F38" s="5">
        <v>3.02</v>
      </c>
      <c r="G38" s="5">
        <v>5.94</v>
      </c>
      <c r="H38" s="5">
        <v>30.19</v>
      </c>
      <c r="I38" s="4">
        <v>61.88</v>
      </c>
      <c r="J38" s="3">
        <v>38.119999999999997</v>
      </c>
      <c r="K38" s="4">
        <v>114426</v>
      </c>
      <c r="L38" s="5">
        <v>8898</v>
      </c>
      <c r="M38" s="3">
        <f t="shared" si="4"/>
        <v>105528</v>
      </c>
      <c r="N38" s="5">
        <f t="shared" si="5"/>
        <v>7.7762047087200456E-2</v>
      </c>
      <c r="O38" s="4">
        <f>ROUND($C38+MIN($D38:$E38)*(1-SUMIFS(PrefFlows!$C:$C,PrefFlows!$A:$A,INDEX($D$1:$E$1,MATCH(MIN($D38:$E38),$D38:$E38,0)),PrefFlows!$B:$B,$B38)),2)</f>
        <v>13.79</v>
      </c>
      <c r="P38" s="5">
        <f>ROUND(MAX($D38:$E38)+MIN($D38:$E38)*SUMIFS(PrefFlows!$C:$C,PrefFlows!$A:$A,INDEX($D$1:$E$1,MATCH(MIN($D38:$E38),$D38:$E38,0)),PrefFlows!$B:$B,$B38),2)</f>
        <v>47.07</v>
      </c>
      <c r="Q38" s="5">
        <f t="shared" si="26"/>
        <v>3.02</v>
      </c>
      <c r="R38" s="5">
        <f t="shared" si="27"/>
        <v>5.94</v>
      </c>
      <c r="S38" s="3">
        <f t="shared" si="8"/>
        <v>30.19</v>
      </c>
      <c r="T38" s="6">
        <f t="shared" si="9"/>
        <v>33.28</v>
      </c>
      <c r="U38" s="4">
        <f>ROUND($Q38*SUMIFS(PrefFlows!$C:$C,PrefFlows!$A:$A,$Q$1,PrefFlows!$B:$B,$B38)+$R38*SUMIFS(PrefFlows!$C:$C,PrefFlows!$A:$A,$R$1,PrefFlows!$B:$B,$B38)+$S38*SUMIFS(PrefFlows!$C:$C,PrefFlows!$A:$A,$S$1,PrefFlows!$B:$B,$B38),2)</f>
        <v>18.760000000000002</v>
      </c>
      <c r="V38" s="3">
        <f>ROUND($Q38*(1-SUMIFS(PrefFlows!$C:$C,PrefFlows!$A:$A,$Q$1,PrefFlows!$B:$B,$B38))+$R38*(1-SUMIFS(PrefFlows!$C:$C,PrefFlows!$A:$A,$R$1,PrefFlows!$B:$B,$B38))+$S38*(1-SUMIFS(PrefFlows!$C:$C,PrefFlows!$A:$A,$S$1,PrefFlows!$B:$B,$B38)),2)</f>
        <v>20.39</v>
      </c>
      <c r="W38" s="4">
        <f t="shared" si="10"/>
        <v>14.81</v>
      </c>
      <c r="X38" s="3">
        <f t="shared" si="11"/>
        <v>24.33</v>
      </c>
      <c r="Y38" s="4">
        <f t="shared" si="12"/>
        <v>0.47920000000000001</v>
      </c>
      <c r="Z38" s="5">
        <f t="shared" si="13"/>
        <v>0.37840000000000001</v>
      </c>
      <c r="AA38" s="5">
        <f t="shared" si="14"/>
        <v>-0.1008</v>
      </c>
      <c r="AB38" s="3">
        <v>1.6871718821257101E-2</v>
      </c>
      <c r="AC38" s="4">
        <f>ROUND(Q38*(1-(Exhaust!$B$2+AB38)),2)</f>
        <v>1.28</v>
      </c>
      <c r="AD38" s="5">
        <f>ROUND(R38*(1-(Exhaust!$B$3+$AB38)),2)</f>
        <v>3.46</v>
      </c>
      <c r="AE38" s="3">
        <f>ROUND(S38*(1-(Exhaust!$B$4+$AB38)),2)</f>
        <v>14.59</v>
      </c>
      <c r="AF38" s="4">
        <f>ROUND($AC38*(SUMIFS(PrefFlows!$C:$C,PrefFlows!$A:$A,$Q$1,PrefFlows!$B:$B,$B38)+$AA38)+$AD38*(SUMIFS(PrefFlows!$C:$C,PrefFlows!$A:$A,$R$1,PrefFlows!$B:$B,$B38)+$AA38)+$AE38*(SUMIFS(PrefFlows!$C:$C,PrefFlows!$A:$A,$S$1,PrefFlows!$B:$B,$B38)+$AA38),2)</f>
        <v>7.11</v>
      </c>
      <c r="AG38" s="3">
        <f>ROUND($AC38*(1-(SUMIFS(PrefFlows!$C:$C,PrefFlows!$A:$A,$Q$1,PrefFlows!$B:$B,$B38)+$AA38))+$AD38*(1-(SUMIFS(PrefFlows!$C:$C,PrefFlows!$A:$A,$R$1,PrefFlows!$B:$B,$B38)+$AA38))+$AE38*(1-(SUMIFS(PrefFlows!$C:$C,PrefFlows!$A:$A,$S$1,PrefFlows!$B:$B,$B38)+$AA38)),2)</f>
        <v>12.22</v>
      </c>
      <c r="AH38" s="4">
        <f t="shared" si="15"/>
        <v>54.18</v>
      </c>
      <c r="AI38" s="3">
        <f t="shared" si="16"/>
        <v>26.01</v>
      </c>
      <c r="AJ38" s="4">
        <f t="shared" si="17"/>
        <v>67.56</v>
      </c>
      <c r="AK38" s="3">
        <f t="shared" si="17"/>
        <v>32.44</v>
      </c>
      <c r="AL38" s="1">
        <f t="shared" si="22"/>
        <v>11.88</v>
      </c>
      <c r="AM38" s="1">
        <f t="shared" si="23"/>
        <v>17.440000000000001</v>
      </c>
      <c r="AN38" s="3">
        <f t="shared" si="24"/>
        <v>17.559999999999999</v>
      </c>
      <c r="AO38" s="1" t="b">
        <f t="shared" si="18"/>
        <v>0</v>
      </c>
      <c r="AP38" s="1" t="b">
        <f t="shared" si="18"/>
        <v>0</v>
      </c>
      <c r="AQ38" s="3" t="b">
        <f t="shared" si="19"/>
        <v>0</v>
      </c>
      <c r="AR38" s="1">
        <f t="shared" si="20"/>
        <v>5.5600000000000005</v>
      </c>
      <c r="AS38" s="1">
        <f t="shared" si="20"/>
        <v>5.6799999999999979</v>
      </c>
      <c r="AT38" s="3">
        <f t="shared" si="21"/>
        <v>0.11999999999999744</v>
      </c>
      <c r="AU38" s="1">
        <f>ROUND(IF($B38="NSW",L38*Meta!$B$6,L38),1)</f>
        <v>5917.2</v>
      </c>
      <c r="AV38" s="3">
        <f t="shared" si="25"/>
        <v>109831.1</v>
      </c>
    </row>
    <row r="39" spans="1:48" x14ac:dyDescent="0.55000000000000004">
      <c r="A39" s="2" t="s">
        <v>46</v>
      </c>
      <c r="B39" s="3" t="s">
        <v>12</v>
      </c>
      <c r="C39" s="4">
        <v>46.61</v>
      </c>
      <c r="D39" s="5">
        <v>30.97</v>
      </c>
      <c r="E39" s="5">
        <v>0</v>
      </c>
      <c r="F39" s="5">
        <v>3.8</v>
      </c>
      <c r="G39" s="5">
        <v>15.09</v>
      </c>
      <c r="H39" s="5">
        <v>3.53</v>
      </c>
      <c r="I39" s="4">
        <v>36.590000000000003</v>
      </c>
      <c r="J39" s="3">
        <v>63.41</v>
      </c>
      <c r="K39" s="4">
        <v>106757</v>
      </c>
      <c r="L39" s="5">
        <v>6080</v>
      </c>
      <c r="M39" s="3">
        <f t="shared" si="4"/>
        <v>100677</v>
      </c>
      <c r="N39" s="5">
        <f t="shared" si="5"/>
        <v>5.6951768970652981E-2</v>
      </c>
      <c r="O39" s="4">
        <f>ROUND($C39+MIN($D39:$E39)*(1-SUMIFS(PrefFlows!$C:$C,PrefFlows!$A:$A,INDEX($D$1:$E$1,MATCH(MIN($D39:$E39),$D39:$E39,0)),PrefFlows!$B:$B,$B39)),2)</f>
        <v>46.61</v>
      </c>
      <c r="P39" s="5">
        <f>ROUND(MAX($D39:$E39)+MIN($D39:$E39)*SUMIFS(PrefFlows!$C:$C,PrefFlows!$A:$A,INDEX($D$1:$E$1,MATCH(MIN($D39:$E39),$D39:$E39,0)),PrefFlows!$B:$B,$B39),2)</f>
        <v>30.97</v>
      </c>
      <c r="Q39" s="5">
        <f t="shared" si="26"/>
        <v>3.8</v>
      </c>
      <c r="R39" s="5">
        <f t="shared" si="27"/>
        <v>15.09</v>
      </c>
      <c r="S39" s="3">
        <f t="shared" si="8"/>
        <v>3.53</v>
      </c>
      <c r="T39" s="6">
        <f t="shared" si="9"/>
        <v>-15.64</v>
      </c>
      <c r="U39" s="4">
        <f>ROUND($Q39*SUMIFS(PrefFlows!$C:$C,PrefFlows!$A:$A,$Q$1,PrefFlows!$B:$B,$B39)+$R39*SUMIFS(PrefFlows!$C:$C,PrefFlows!$A:$A,$R$1,PrefFlows!$B:$B,$B39)+$S39*SUMIFS(PrefFlows!$C:$C,PrefFlows!$A:$A,$S$1,PrefFlows!$B:$B,$B39),2)</f>
        <v>6.98</v>
      </c>
      <c r="V39" s="3">
        <f>ROUND($Q39*(1-SUMIFS(PrefFlows!$C:$C,PrefFlows!$A:$A,$Q$1,PrefFlows!$B:$B,$B39))+$R39*(1-SUMIFS(PrefFlows!$C:$C,PrefFlows!$A:$A,$R$1,PrefFlows!$B:$B,$B39))+$S39*(1-SUMIFS(PrefFlows!$C:$C,PrefFlows!$A:$A,$S$1,PrefFlows!$B:$B,$B39)),2)</f>
        <v>15.44</v>
      </c>
      <c r="W39" s="4">
        <f t="shared" si="10"/>
        <v>5.62</v>
      </c>
      <c r="X39" s="3">
        <f t="shared" si="11"/>
        <v>16.8</v>
      </c>
      <c r="Y39" s="4">
        <f t="shared" si="12"/>
        <v>0.31130000000000002</v>
      </c>
      <c r="Z39" s="5">
        <f t="shared" si="13"/>
        <v>0.25069999999999998</v>
      </c>
      <c r="AA39" s="5">
        <f t="shared" si="14"/>
        <v>-6.0600000000000001E-2</v>
      </c>
      <c r="AB39" s="3">
        <v>-5.5549964235151097E-3</v>
      </c>
      <c r="AC39" s="4">
        <f>ROUND(Q39*(1-(Exhaust!$B$2+AB39)),2)</f>
        <v>1.69</v>
      </c>
      <c r="AD39" s="5">
        <f>ROUND(R39*(1-(Exhaust!$B$3+$AB39)),2)</f>
        <v>9.14</v>
      </c>
      <c r="AE39" s="3">
        <f>ROUND(S39*(1-(Exhaust!$B$4+$AB39)),2)</f>
        <v>1.78</v>
      </c>
      <c r="AF39" s="4">
        <f>ROUND($AC39*(SUMIFS(PrefFlows!$C:$C,PrefFlows!$A:$A,$Q$1,PrefFlows!$B:$B,$B39)+$AA39)+$AD39*(SUMIFS(PrefFlows!$C:$C,PrefFlows!$A:$A,$R$1,PrefFlows!$B:$B,$B39)+$AA39)+$AE39*(SUMIFS(PrefFlows!$C:$C,PrefFlows!$A:$A,$S$1,PrefFlows!$B:$B,$B39)+$AA39),2)</f>
        <v>2.88</v>
      </c>
      <c r="AG39" s="3">
        <f>ROUND($AC39*(1-(SUMIFS(PrefFlows!$C:$C,PrefFlows!$A:$A,$Q$1,PrefFlows!$B:$B,$B39)+$AA39))+$AD39*(1-(SUMIFS(PrefFlows!$C:$C,PrefFlows!$A:$A,$R$1,PrefFlows!$B:$B,$B39)+$AA39))+$AE39*(1-(SUMIFS(PrefFlows!$C:$C,PrefFlows!$A:$A,$S$1,PrefFlows!$B:$B,$B39)+$AA39)),2)</f>
        <v>9.73</v>
      </c>
      <c r="AH39" s="4">
        <f t="shared" si="15"/>
        <v>33.85</v>
      </c>
      <c r="AI39" s="3">
        <f t="shared" si="16"/>
        <v>56.34</v>
      </c>
      <c r="AJ39" s="4">
        <f t="shared" si="17"/>
        <v>37.53</v>
      </c>
      <c r="AK39" s="3">
        <f t="shared" si="17"/>
        <v>62.47</v>
      </c>
      <c r="AL39" s="1">
        <f t="shared" si="22"/>
        <v>-13.41</v>
      </c>
      <c r="AM39" s="1">
        <f t="shared" si="23"/>
        <v>-12.02</v>
      </c>
      <c r="AN39" s="3">
        <f t="shared" si="24"/>
        <v>-12.47</v>
      </c>
      <c r="AO39" s="1" t="b">
        <f t="shared" si="18"/>
        <v>0</v>
      </c>
      <c r="AP39" s="1" t="b">
        <f t="shared" si="18"/>
        <v>0</v>
      </c>
      <c r="AQ39" s="3" t="b">
        <f t="shared" si="19"/>
        <v>0</v>
      </c>
      <c r="AR39" s="1">
        <f t="shared" si="20"/>
        <v>1.3900000000000006</v>
      </c>
      <c r="AS39" s="1">
        <f t="shared" si="20"/>
        <v>0.9399999999999995</v>
      </c>
      <c r="AT39" s="3">
        <f t="shared" si="21"/>
        <v>0.45000000000000107</v>
      </c>
      <c r="AU39" s="1">
        <f>ROUND(IF($B39="NSW",L39*Meta!$B$6,L39),1)</f>
        <v>4043.2</v>
      </c>
      <c r="AV39" s="3">
        <f t="shared" si="25"/>
        <v>103617.3</v>
      </c>
    </row>
    <row r="40" spans="1:48" x14ac:dyDescent="0.55000000000000004">
      <c r="A40" s="2" t="s">
        <v>47</v>
      </c>
      <c r="B40" s="3" t="s">
        <v>29</v>
      </c>
      <c r="C40" s="4">
        <v>17.62</v>
      </c>
      <c r="D40" s="5">
        <v>54.18</v>
      </c>
      <c r="E40" s="5">
        <v>0</v>
      </c>
      <c r="F40" s="5">
        <v>2.4300000000000002</v>
      </c>
      <c r="G40" s="5">
        <v>15.55</v>
      </c>
      <c r="H40" s="5">
        <v>10.220000000000001</v>
      </c>
      <c r="I40" s="4">
        <v>64.33</v>
      </c>
      <c r="J40" s="3">
        <v>35.67</v>
      </c>
      <c r="K40" s="4">
        <v>91989</v>
      </c>
      <c r="L40" s="5">
        <v>2927</v>
      </c>
      <c r="M40" s="3">
        <f t="shared" si="4"/>
        <v>89062</v>
      </c>
      <c r="N40" s="5">
        <f t="shared" si="5"/>
        <v>3.1819021839567772E-2</v>
      </c>
      <c r="O40" s="4">
        <f>ROUND($C40+MIN($D40:$E40)*(1-SUMIFS(PrefFlows!$C:$C,PrefFlows!$A:$A,INDEX($D$1:$E$1,MATCH(MIN($D40:$E40),$D40:$E40,0)),PrefFlows!$B:$B,$B40)),2)</f>
        <v>17.62</v>
      </c>
      <c r="P40" s="5">
        <f>ROUND(MAX($D40:$E40)+MIN($D40:$E40)*SUMIFS(PrefFlows!$C:$C,PrefFlows!$A:$A,INDEX($D$1:$E$1,MATCH(MIN($D40:$E40),$D40:$E40,0)),PrefFlows!$B:$B,$B40),2)</f>
        <v>54.18</v>
      </c>
      <c r="Q40" s="5">
        <f t="shared" si="26"/>
        <v>2.4300000000000002</v>
      </c>
      <c r="R40" s="5">
        <f t="shared" si="27"/>
        <v>15.55</v>
      </c>
      <c r="S40" s="3">
        <f t="shared" si="8"/>
        <v>10.220000000000001</v>
      </c>
      <c r="T40" s="6">
        <f t="shared" si="9"/>
        <v>36.56</v>
      </c>
      <c r="U40" s="4">
        <f>ROUND($Q40*SUMIFS(PrefFlows!$C:$C,PrefFlows!$A:$A,$Q$1,PrefFlows!$B:$B,$B40)+$R40*SUMIFS(PrefFlows!$C:$C,PrefFlows!$A:$A,$R$1,PrefFlows!$B:$B,$B40)+$S40*SUMIFS(PrefFlows!$C:$C,PrefFlows!$A:$A,$S$1,PrefFlows!$B:$B,$B40),2)</f>
        <v>10.029999999999999</v>
      </c>
      <c r="V40" s="3">
        <f>ROUND($Q40*(1-SUMIFS(PrefFlows!$C:$C,PrefFlows!$A:$A,$Q$1,PrefFlows!$B:$B,$B40))+$R40*(1-SUMIFS(PrefFlows!$C:$C,PrefFlows!$A:$A,$R$1,PrefFlows!$B:$B,$B40))+$S40*(1-SUMIFS(PrefFlows!$C:$C,PrefFlows!$A:$A,$S$1,PrefFlows!$B:$B,$B40)),2)</f>
        <v>18.170000000000002</v>
      </c>
      <c r="W40" s="4">
        <f t="shared" si="10"/>
        <v>10.15</v>
      </c>
      <c r="X40" s="3">
        <f t="shared" si="11"/>
        <v>18.05</v>
      </c>
      <c r="Y40" s="4">
        <f t="shared" si="12"/>
        <v>0.35570000000000002</v>
      </c>
      <c r="Z40" s="5">
        <f t="shared" si="13"/>
        <v>0.3599</v>
      </c>
      <c r="AA40" s="5">
        <f t="shared" si="14"/>
        <v>4.1999999999999997E-3</v>
      </c>
      <c r="AB40" s="3">
        <v>-3.7610782360911803E-2</v>
      </c>
      <c r="AC40" s="4">
        <f>ROUND(Q40*(1-(Exhaust!$B$2+AB40)),2)</f>
        <v>1.1599999999999999</v>
      </c>
      <c r="AD40" s="5">
        <f>ROUND(R40*(1-(Exhaust!$B$3+$AB40)),2)</f>
        <v>9.91</v>
      </c>
      <c r="AE40" s="3">
        <f>ROUND(S40*(1-(Exhaust!$B$4+$AB40)),2)</f>
        <v>5.49</v>
      </c>
      <c r="AF40" s="4">
        <f>ROUND($AC40*(SUMIFS(PrefFlows!$C:$C,PrefFlows!$A:$A,$Q$1,PrefFlows!$B:$B,$B40)+$AA40)+$AD40*(SUMIFS(PrefFlows!$C:$C,PrefFlows!$A:$A,$R$1,PrefFlows!$B:$B,$B40)+$AA40)+$AE40*(SUMIFS(PrefFlows!$C:$C,PrefFlows!$A:$A,$S$1,PrefFlows!$B:$B,$B40)+$AA40),2)</f>
        <v>5.68</v>
      </c>
      <c r="AG40" s="3">
        <f>ROUND($AC40*(1-(SUMIFS(PrefFlows!$C:$C,PrefFlows!$A:$A,$Q$1,PrefFlows!$B:$B,$B40)+$AA40))+$AD40*(1-(SUMIFS(PrefFlows!$C:$C,PrefFlows!$A:$A,$R$1,PrefFlows!$B:$B,$B40)+$AA40))+$AE40*(1-(SUMIFS(PrefFlows!$C:$C,PrefFlows!$A:$A,$S$1,PrefFlows!$B:$B,$B40)+$AA40)),2)</f>
        <v>10.88</v>
      </c>
      <c r="AH40" s="4">
        <f t="shared" si="15"/>
        <v>59.86</v>
      </c>
      <c r="AI40" s="3">
        <f t="shared" si="16"/>
        <v>28.5</v>
      </c>
      <c r="AJ40" s="4">
        <f t="shared" si="17"/>
        <v>67.75</v>
      </c>
      <c r="AK40" s="3">
        <f t="shared" si="17"/>
        <v>32.25</v>
      </c>
      <c r="AL40" s="1">
        <f t="shared" si="22"/>
        <v>14.33</v>
      </c>
      <c r="AM40" s="1">
        <f t="shared" si="23"/>
        <v>18.77</v>
      </c>
      <c r="AN40" s="3">
        <f t="shared" si="24"/>
        <v>17.75</v>
      </c>
      <c r="AO40" s="1" t="b">
        <f t="shared" si="18"/>
        <v>0</v>
      </c>
      <c r="AP40" s="1" t="b">
        <f t="shared" si="18"/>
        <v>0</v>
      </c>
      <c r="AQ40" s="3" t="b">
        <f t="shared" si="19"/>
        <v>0</v>
      </c>
      <c r="AR40" s="1">
        <f t="shared" si="20"/>
        <v>4.4399999999999995</v>
      </c>
      <c r="AS40" s="1">
        <f t="shared" si="20"/>
        <v>3.42</v>
      </c>
      <c r="AT40" s="3">
        <f t="shared" si="21"/>
        <v>1.0199999999999996</v>
      </c>
      <c r="AU40" s="1">
        <f>ROUND(IF($B40="NSW",L40*Meta!$B$6,L40),1)</f>
        <v>2927</v>
      </c>
      <c r="AV40" s="3">
        <f t="shared" si="25"/>
        <v>89716.1</v>
      </c>
    </row>
    <row r="41" spans="1:48" x14ac:dyDescent="0.55000000000000004">
      <c r="A41" s="2" t="s">
        <v>48</v>
      </c>
      <c r="B41" s="3" t="s">
        <v>21</v>
      </c>
      <c r="C41" s="4">
        <v>20.28</v>
      </c>
      <c r="D41" s="5">
        <v>42.95</v>
      </c>
      <c r="E41" s="5">
        <v>0</v>
      </c>
      <c r="F41" s="5">
        <v>24.31</v>
      </c>
      <c r="G41" s="5">
        <v>4.51</v>
      </c>
      <c r="H41" s="5">
        <v>7.94</v>
      </c>
      <c r="I41" s="4">
        <v>64.61</v>
      </c>
      <c r="J41" s="3">
        <v>35.39</v>
      </c>
      <c r="K41" s="4">
        <v>95550</v>
      </c>
      <c r="L41" s="5">
        <v>6699</v>
      </c>
      <c r="M41" s="3">
        <f t="shared" si="4"/>
        <v>88851</v>
      </c>
      <c r="N41" s="5">
        <f t="shared" si="5"/>
        <v>7.0109890109890105E-2</v>
      </c>
      <c r="O41" s="4">
        <f>ROUND($C41+MIN($D41:$E41)*(1-SUMIFS(PrefFlows!$C:$C,PrefFlows!$A:$A,INDEX($D$1:$E$1,MATCH(MIN($D41:$E41),$D41:$E41,0)),PrefFlows!$B:$B,$B41)),2)</f>
        <v>20.28</v>
      </c>
      <c r="P41" s="5">
        <f>ROUND(MAX($D41:$E41)+MIN($D41:$E41)*SUMIFS(PrefFlows!$C:$C,PrefFlows!$A:$A,INDEX($D$1:$E$1,MATCH(MIN($D41:$E41),$D41:$E41,0)),PrefFlows!$B:$B,$B41),2)</f>
        <v>42.95</v>
      </c>
      <c r="Q41" s="5">
        <f t="shared" si="26"/>
        <v>24.31</v>
      </c>
      <c r="R41" s="5">
        <f t="shared" si="27"/>
        <v>4.51</v>
      </c>
      <c r="S41" s="3">
        <f t="shared" si="8"/>
        <v>7.94</v>
      </c>
      <c r="T41" s="6">
        <f t="shared" si="9"/>
        <v>22.67</v>
      </c>
      <c r="U41" s="4">
        <f>ROUND($Q41*SUMIFS(PrefFlows!$C:$C,PrefFlows!$A:$A,$Q$1,PrefFlows!$B:$B,$B41)+$R41*SUMIFS(PrefFlows!$C:$C,PrefFlows!$A:$A,$R$1,PrefFlows!$B:$B,$B41)+$S41*SUMIFS(PrefFlows!$C:$C,PrefFlows!$A:$A,$S$1,PrefFlows!$B:$B,$B41),2)</f>
        <v>21.36</v>
      </c>
      <c r="V41" s="3">
        <f>ROUND($Q41*(1-SUMIFS(PrefFlows!$C:$C,PrefFlows!$A:$A,$Q$1,PrefFlows!$B:$B,$B41))+$R41*(1-SUMIFS(PrefFlows!$C:$C,PrefFlows!$A:$A,$R$1,PrefFlows!$B:$B,$B41))+$S41*(1-SUMIFS(PrefFlows!$C:$C,PrefFlows!$A:$A,$S$1,PrefFlows!$B:$B,$B41)),2)</f>
        <v>15.4</v>
      </c>
      <c r="W41" s="4">
        <f t="shared" si="10"/>
        <v>21.66</v>
      </c>
      <c r="X41" s="3">
        <f t="shared" si="11"/>
        <v>15.11</v>
      </c>
      <c r="Y41" s="4">
        <f t="shared" si="12"/>
        <v>0.58109999999999995</v>
      </c>
      <c r="Z41" s="5">
        <f t="shared" si="13"/>
        <v>0.58909999999999996</v>
      </c>
      <c r="AA41" s="5">
        <f t="shared" si="14"/>
        <v>8.0000000000000002E-3</v>
      </c>
      <c r="AB41" s="3">
        <v>6.0819772923778603E-2</v>
      </c>
      <c r="AC41" s="4">
        <f>ROUND(Q41*(1-(Exhaust!$B$2+AB41)),2)</f>
        <v>9.2200000000000006</v>
      </c>
      <c r="AD41" s="5">
        <f>ROUND(R41*(1-(Exhaust!$B$3+$AB41)),2)</f>
        <v>2.4300000000000002</v>
      </c>
      <c r="AE41" s="3">
        <f>ROUND(S41*(1-(Exhaust!$B$4+$AB41)),2)</f>
        <v>3.49</v>
      </c>
      <c r="AF41" s="4">
        <f>ROUND($AC41*(SUMIFS(PrefFlows!$C:$C,PrefFlows!$A:$A,$Q$1,PrefFlows!$B:$B,$B41)+$AA41)+$AD41*(SUMIFS(PrefFlows!$C:$C,PrefFlows!$A:$A,$R$1,PrefFlows!$B:$B,$B41)+$AA41)+$AE41*(SUMIFS(PrefFlows!$C:$C,PrefFlows!$A:$A,$S$1,PrefFlows!$B:$B,$B41)+$AA41),2)</f>
        <v>8.61</v>
      </c>
      <c r="AG41" s="3">
        <f>ROUND($AC41*(1-(SUMIFS(PrefFlows!$C:$C,PrefFlows!$A:$A,$Q$1,PrefFlows!$B:$B,$B41)+$AA41))+$AD41*(1-(SUMIFS(PrefFlows!$C:$C,PrefFlows!$A:$A,$R$1,PrefFlows!$B:$B,$B41)+$AA41))+$AE41*(1-(SUMIFS(PrefFlows!$C:$C,PrefFlows!$A:$A,$S$1,PrefFlows!$B:$B,$B41)+$AA41)),2)</f>
        <v>6.53</v>
      </c>
      <c r="AH41" s="4">
        <f t="shared" si="15"/>
        <v>51.56</v>
      </c>
      <c r="AI41" s="3">
        <f t="shared" si="16"/>
        <v>26.81</v>
      </c>
      <c r="AJ41" s="4">
        <f t="shared" si="17"/>
        <v>65.790000000000006</v>
      </c>
      <c r="AK41" s="3">
        <f t="shared" si="17"/>
        <v>34.21</v>
      </c>
      <c r="AL41" s="1">
        <f t="shared" si="22"/>
        <v>14.61</v>
      </c>
      <c r="AM41" s="1">
        <f t="shared" si="23"/>
        <v>15.83</v>
      </c>
      <c r="AN41" s="3">
        <f t="shared" si="24"/>
        <v>15.79</v>
      </c>
      <c r="AO41" s="1" t="b">
        <f t="shared" si="18"/>
        <v>0</v>
      </c>
      <c r="AP41" s="1" t="b">
        <f t="shared" si="18"/>
        <v>0</v>
      </c>
      <c r="AQ41" s="3" t="b">
        <f t="shared" si="19"/>
        <v>0</v>
      </c>
      <c r="AR41" s="1">
        <f t="shared" si="20"/>
        <v>1.2200000000000006</v>
      </c>
      <c r="AS41" s="1">
        <f t="shared" si="20"/>
        <v>1.1799999999999997</v>
      </c>
      <c r="AT41" s="3">
        <f t="shared" si="21"/>
        <v>4.0000000000000924E-2</v>
      </c>
      <c r="AU41" s="1">
        <f>ROUND(IF($B41="NSW",L41*Meta!$B$6,L41),1)</f>
        <v>6699</v>
      </c>
      <c r="AV41" s="3">
        <f t="shared" si="25"/>
        <v>90348</v>
      </c>
    </row>
    <row r="42" spans="1:48" x14ac:dyDescent="0.55000000000000004">
      <c r="A42" s="2" t="s">
        <v>49</v>
      </c>
      <c r="B42" s="3" t="s">
        <v>9</v>
      </c>
      <c r="C42" s="4">
        <v>32.54</v>
      </c>
      <c r="D42" s="5">
        <v>47.84</v>
      </c>
      <c r="E42" s="5">
        <v>0</v>
      </c>
      <c r="F42" s="5">
        <v>2.0499999999999998</v>
      </c>
      <c r="G42" s="5">
        <v>8.98</v>
      </c>
      <c r="H42" s="5">
        <v>8.59</v>
      </c>
      <c r="I42" s="4">
        <v>54.78</v>
      </c>
      <c r="J42" s="3">
        <v>45.22</v>
      </c>
      <c r="K42" s="4">
        <v>101424</v>
      </c>
      <c r="L42" s="5">
        <v>4155</v>
      </c>
      <c r="M42" s="3">
        <f t="shared" si="4"/>
        <v>97269</v>
      </c>
      <c r="N42" s="5">
        <f t="shared" si="5"/>
        <v>4.0966635115948891E-2</v>
      </c>
      <c r="O42" s="4">
        <f>ROUND($C42+MIN($D42:$E42)*(1-SUMIFS(PrefFlows!$C:$C,PrefFlows!$A:$A,INDEX($D$1:$E$1,MATCH(MIN($D42:$E42),$D42:$E42,0)),PrefFlows!$B:$B,$B42)),2)</f>
        <v>32.54</v>
      </c>
      <c r="P42" s="5">
        <f>ROUND(MAX($D42:$E42)+MIN($D42:$E42)*SUMIFS(PrefFlows!$C:$C,PrefFlows!$A:$A,INDEX($D$1:$E$1,MATCH(MIN($D42:$E42),$D42:$E42,0)),PrefFlows!$B:$B,$B42),2)</f>
        <v>47.84</v>
      </c>
      <c r="Q42" s="5">
        <f t="shared" si="26"/>
        <v>2.0499999999999998</v>
      </c>
      <c r="R42" s="5">
        <f t="shared" si="27"/>
        <v>8.98</v>
      </c>
      <c r="S42" s="3">
        <f t="shared" si="8"/>
        <v>8.59</v>
      </c>
      <c r="T42" s="6">
        <f t="shared" si="9"/>
        <v>15.3</v>
      </c>
      <c r="U42" s="4">
        <f>ROUND($Q42*SUMIFS(PrefFlows!$C:$C,PrefFlows!$A:$A,$Q$1,PrefFlows!$B:$B,$B42)+$R42*SUMIFS(PrefFlows!$C:$C,PrefFlows!$A:$A,$R$1,PrefFlows!$B:$B,$B42)+$S42*SUMIFS(PrefFlows!$C:$C,PrefFlows!$A:$A,$S$1,PrefFlows!$B:$B,$B42),2)</f>
        <v>7.37</v>
      </c>
      <c r="V42" s="3">
        <f>ROUND($Q42*(1-SUMIFS(PrefFlows!$C:$C,PrefFlows!$A:$A,$Q$1,PrefFlows!$B:$B,$B42))+$R42*(1-SUMIFS(PrefFlows!$C:$C,PrefFlows!$A:$A,$R$1,PrefFlows!$B:$B,$B42))+$S42*(1-SUMIFS(PrefFlows!$C:$C,PrefFlows!$A:$A,$S$1,PrefFlows!$B:$B,$B42)),2)</f>
        <v>12.25</v>
      </c>
      <c r="W42" s="4">
        <f t="shared" si="10"/>
        <v>6.94</v>
      </c>
      <c r="X42" s="3">
        <f t="shared" si="11"/>
        <v>12.68</v>
      </c>
      <c r="Y42" s="4">
        <f t="shared" si="12"/>
        <v>0.37559999999999999</v>
      </c>
      <c r="Z42" s="5">
        <f t="shared" si="13"/>
        <v>0.35370000000000001</v>
      </c>
      <c r="AA42" s="5">
        <f t="shared" si="14"/>
        <v>-2.1899999999999999E-2</v>
      </c>
      <c r="AB42" s="3">
        <v>-5.6900543213597005E-4</v>
      </c>
      <c r="AC42" s="4">
        <f>ROUND(Q42*(1-(Exhaust!$B$2+AB42)),2)</f>
        <v>0.9</v>
      </c>
      <c r="AD42" s="5">
        <f>ROUND(R42*(1-(Exhaust!$B$3+$AB42)),2)</f>
        <v>5.39</v>
      </c>
      <c r="AE42" s="3">
        <f>ROUND(S42*(1-(Exhaust!$B$4+$AB42)),2)</f>
        <v>4.3</v>
      </c>
      <c r="AF42" s="4">
        <f>ROUND($AC42*(SUMIFS(PrefFlows!$C:$C,PrefFlows!$A:$A,$Q$1,PrefFlows!$B:$B,$B42)+$AA42)+$AD42*(SUMIFS(PrefFlows!$C:$C,PrefFlows!$A:$A,$R$1,PrefFlows!$B:$B,$B42)+$AA42)+$AE42*(SUMIFS(PrefFlows!$C:$C,PrefFlows!$A:$A,$S$1,PrefFlows!$B:$B,$B42)+$AA42),2)</f>
        <v>3.52</v>
      </c>
      <c r="AG42" s="3">
        <f>ROUND($AC42*(1-(SUMIFS(PrefFlows!$C:$C,PrefFlows!$A:$A,$Q$1,PrefFlows!$B:$B,$B42)+$AA42))+$AD42*(1-(SUMIFS(PrefFlows!$C:$C,PrefFlows!$A:$A,$R$1,PrefFlows!$B:$B,$B42)+$AA42))+$AE42*(1-(SUMIFS(PrefFlows!$C:$C,PrefFlows!$A:$A,$S$1,PrefFlows!$B:$B,$B42)+$AA42)),2)</f>
        <v>7.07</v>
      </c>
      <c r="AH42" s="4">
        <f t="shared" si="15"/>
        <v>51.36</v>
      </c>
      <c r="AI42" s="3">
        <f t="shared" si="16"/>
        <v>39.61</v>
      </c>
      <c r="AJ42" s="4">
        <f t="shared" si="17"/>
        <v>56.46</v>
      </c>
      <c r="AK42" s="3">
        <f t="shared" si="17"/>
        <v>43.54</v>
      </c>
      <c r="AL42" s="1">
        <f t="shared" si="22"/>
        <v>4.78</v>
      </c>
      <c r="AM42" s="1">
        <f t="shared" si="23"/>
        <v>6.8</v>
      </c>
      <c r="AN42" s="3">
        <f t="shared" si="24"/>
        <v>6.46</v>
      </c>
      <c r="AO42" s="1" t="b">
        <f t="shared" si="18"/>
        <v>0</v>
      </c>
      <c r="AP42" s="1" t="b">
        <f t="shared" si="18"/>
        <v>0</v>
      </c>
      <c r="AQ42" s="3" t="b">
        <f t="shared" si="19"/>
        <v>0</v>
      </c>
      <c r="AR42" s="1">
        <f t="shared" si="20"/>
        <v>2.0199999999999996</v>
      </c>
      <c r="AS42" s="1">
        <f t="shared" si="20"/>
        <v>1.6799999999999997</v>
      </c>
      <c r="AT42" s="3">
        <f t="shared" si="21"/>
        <v>0.33999999999999986</v>
      </c>
      <c r="AU42" s="1">
        <f>ROUND(IF($B42="NSW",L42*Meta!$B$6,L42),1)</f>
        <v>4155</v>
      </c>
      <c r="AV42" s="3">
        <f t="shared" si="25"/>
        <v>98197.5</v>
      </c>
    </row>
    <row r="43" spans="1:48" x14ac:dyDescent="0.55000000000000004">
      <c r="A43" s="2" t="s">
        <v>50</v>
      </c>
      <c r="B43" s="3" t="s">
        <v>21</v>
      </c>
      <c r="C43" s="4">
        <v>31.33</v>
      </c>
      <c r="D43" s="5">
        <v>45.93</v>
      </c>
      <c r="E43" s="5">
        <v>0</v>
      </c>
      <c r="F43" s="5">
        <v>7.42</v>
      </c>
      <c r="G43" s="5">
        <v>9.98</v>
      </c>
      <c r="H43" s="5">
        <v>5.34</v>
      </c>
      <c r="I43" s="4">
        <v>54.64</v>
      </c>
      <c r="J43" s="3">
        <v>45.36</v>
      </c>
      <c r="K43" s="4">
        <v>101364</v>
      </c>
      <c r="L43" s="5">
        <v>4416</v>
      </c>
      <c r="M43" s="3">
        <f t="shared" si="4"/>
        <v>96948</v>
      </c>
      <c r="N43" s="5">
        <f t="shared" si="5"/>
        <v>4.3565762992778499E-2</v>
      </c>
      <c r="O43" s="4">
        <f>ROUND($C43+MIN($D43:$E43)*(1-SUMIFS(PrefFlows!$C:$C,PrefFlows!$A:$A,INDEX($D$1:$E$1,MATCH(MIN($D43:$E43),$D43:$E43,0)),PrefFlows!$B:$B,$B43)),2)</f>
        <v>31.33</v>
      </c>
      <c r="P43" s="5">
        <f>ROUND(MAX($D43:$E43)+MIN($D43:$E43)*SUMIFS(PrefFlows!$C:$C,PrefFlows!$A:$A,INDEX($D$1:$E$1,MATCH(MIN($D43:$E43),$D43:$E43,0)),PrefFlows!$B:$B,$B43),2)</f>
        <v>45.93</v>
      </c>
      <c r="Q43" s="5">
        <f t="shared" si="26"/>
        <v>7.42</v>
      </c>
      <c r="R43" s="5">
        <f t="shared" si="27"/>
        <v>9.98</v>
      </c>
      <c r="S43" s="3">
        <f t="shared" si="8"/>
        <v>5.34</v>
      </c>
      <c r="T43" s="6">
        <f t="shared" si="9"/>
        <v>14.6</v>
      </c>
      <c r="U43" s="4">
        <f>ROUND($Q43*SUMIFS(PrefFlows!$C:$C,PrefFlows!$A:$A,$Q$1,PrefFlows!$B:$B,$B43)+$R43*SUMIFS(PrefFlows!$C:$C,PrefFlows!$A:$A,$R$1,PrefFlows!$B:$B,$B43)+$S43*SUMIFS(PrefFlows!$C:$C,PrefFlows!$A:$A,$S$1,PrefFlows!$B:$B,$B43),2)</f>
        <v>9.75</v>
      </c>
      <c r="V43" s="3">
        <f>ROUND($Q43*(1-SUMIFS(PrefFlows!$C:$C,PrefFlows!$A:$A,$Q$1,PrefFlows!$B:$B,$B43))+$R43*(1-SUMIFS(PrefFlows!$C:$C,PrefFlows!$A:$A,$R$1,PrefFlows!$B:$B,$B43))+$S43*(1-SUMIFS(PrefFlows!$C:$C,PrefFlows!$A:$A,$S$1,PrefFlows!$B:$B,$B43)),2)</f>
        <v>12.99</v>
      </c>
      <c r="W43" s="4">
        <f t="shared" si="10"/>
        <v>8.7100000000000009</v>
      </c>
      <c r="X43" s="3">
        <f t="shared" si="11"/>
        <v>14.03</v>
      </c>
      <c r="Y43" s="4">
        <f t="shared" si="12"/>
        <v>0.42880000000000001</v>
      </c>
      <c r="Z43" s="5">
        <f t="shared" si="13"/>
        <v>0.38300000000000001</v>
      </c>
      <c r="AA43" s="5">
        <f t="shared" si="14"/>
        <v>-4.58E-2</v>
      </c>
      <c r="AB43" s="3">
        <v>1.1506737786159E-2</v>
      </c>
      <c r="AC43" s="4">
        <f>ROUND(Q43*(1-(Exhaust!$B$2+AB43)),2)</f>
        <v>3.18</v>
      </c>
      <c r="AD43" s="5">
        <f>ROUND(R43*(1-(Exhaust!$B$3+$AB43)),2)</f>
        <v>5.87</v>
      </c>
      <c r="AE43" s="3">
        <f>ROUND(S43*(1-(Exhaust!$B$4+$AB43)),2)</f>
        <v>2.61</v>
      </c>
      <c r="AF43" s="4">
        <f>ROUND($AC43*(SUMIFS(PrefFlows!$C:$C,PrefFlows!$A:$A,$Q$1,PrefFlows!$B:$B,$B43)+$AA43)+$AD43*(SUMIFS(PrefFlows!$C:$C,PrefFlows!$A:$A,$R$1,PrefFlows!$B:$B,$B43)+$AA43)+$AE43*(SUMIFS(PrefFlows!$C:$C,PrefFlows!$A:$A,$S$1,PrefFlows!$B:$B,$B43)+$AA43),2)</f>
        <v>4.13</v>
      </c>
      <c r="AG43" s="3">
        <f>ROUND($AC43*(1-(SUMIFS(PrefFlows!$C:$C,PrefFlows!$A:$A,$Q$1,PrefFlows!$B:$B,$B43)+$AA43))+$AD43*(1-(SUMIFS(PrefFlows!$C:$C,PrefFlows!$A:$A,$R$1,PrefFlows!$B:$B,$B43)+$AA43))+$AE43*(1-(SUMIFS(PrefFlows!$C:$C,PrefFlows!$A:$A,$S$1,PrefFlows!$B:$B,$B43)+$AA43)),2)</f>
        <v>7.53</v>
      </c>
      <c r="AH43" s="4">
        <f t="shared" si="15"/>
        <v>50.06</v>
      </c>
      <c r="AI43" s="3">
        <f t="shared" si="16"/>
        <v>38.86</v>
      </c>
      <c r="AJ43" s="4">
        <f t="shared" si="17"/>
        <v>56.3</v>
      </c>
      <c r="AK43" s="3">
        <f t="shared" si="17"/>
        <v>43.7</v>
      </c>
      <c r="AL43" s="1">
        <f t="shared" si="22"/>
        <v>4.6399999999999997</v>
      </c>
      <c r="AM43" s="1">
        <f t="shared" si="23"/>
        <v>6.64</v>
      </c>
      <c r="AN43" s="3">
        <f t="shared" si="24"/>
        <v>6.3</v>
      </c>
      <c r="AO43" s="1" t="b">
        <f t="shared" si="18"/>
        <v>0</v>
      </c>
      <c r="AP43" s="1" t="b">
        <f t="shared" si="18"/>
        <v>0</v>
      </c>
      <c r="AQ43" s="3" t="b">
        <f t="shared" si="19"/>
        <v>0</v>
      </c>
      <c r="AR43" s="1">
        <f t="shared" si="20"/>
        <v>2</v>
      </c>
      <c r="AS43" s="1">
        <f t="shared" si="20"/>
        <v>1.6600000000000001</v>
      </c>
      <c r="AT43" s="3">
        <f t="shared" si="21"/>
        <v>0.33999999999999986</v>
      </c>
      <c r="AU43" s="1">
        <f>ROUND(IF($B43="NSW",L43*Meta!$B$6,L43),1)</f>
        <v>4416</v>
      </c>
      <c r="AV43" s="3">
        <f t="shared" si="25"/>
        <v>97934.8</v>
      </c>
    </row>
    <row r="44" spans="1:48" x14ac:dyDescent="0.55000000000000004">
      <c r="A44" s="2" t="s">
        <v>51</v>
      </c>
      <c r="B44" s="3" t="s">
        <v>12</v>
      </c>
      <c r="C44" s="4">
        <v>41.49</v>
      </c>
      <c r="D44" s="5">
        <v>40.729999999999997</v>
      </c>
      <c r="E44" s="5">
        <v>0</v>
      </c>
      <c r="F44" s="5">
        <v>5.33</v>
      </c>
      <c r="G44" s="5">
        <v>7.47</v>
      </c>
      <c r="H44" s="5">
        <v>4.97</v>
      </c>
      <c r="I44" s="4">
        <v>48.5</v>
      </c>
      <c r="J44" s="3">
        <v>51.5</v>
      </c>
      <c r="K44" s="4">
        <v>107892</v>
      </c>
      <c r="L44" s="5">
        <v>6439</v>
      </c>
      <c r="M44" s="3">
        <f t="shared" si="4"/>
        <v>101453</v>
      </c>
      <c r="N44" s="5">
        <f t="shared" si="5"/>
        <v>5.9680050420791164E-2</v>
      </c>
      <c r="O44" s="4">
        <f>ROUND($C44+MIN($D44:$E44)*(1-SUMIFS(PrefFlows!$C:$C,PrefFlows!$A:$A,INDEX($D$1:$E$1,MATCH(MIN($D44:$E44),$D44:$E44,0)),PrefFlows!$B:$B,$B44)),2)</f>
        <v>41.49</v>
      </c>
      <c r="P44" s="5">
        <f>ROUND(MAX($D44:$E44)+MIN($D44:$E44)*SUMIFS(PrefFlows!$C:$C,PrefFlows!$A:$A,INDEX($D$1:$E$1,MATCH(MIN($D44:$E44),$D44:$E44,0)),PrefFlows!$B:$B,$B44),2)</f>
        <v>40.729999999999997</v>
      </c>
      <c r="Q44" s="5">
        <f t="shared" si="26"/>
        <v>5.33</v>
      </c>
      <c r="R44" s="5">
        <f t="shared" si="27"/>
        <v>7.47</v>
      </c>
      <c r="S44" s="3">
        <f t="shared" si="8"/>
        <v>4.97</v>
      </c>
      <c r="T44" s="6">
        <f t="shared" si="9"/>
        <v>-0.76</v>
      </c>
      <c r="U44" s="4">
        <f>ROUND($Q44*SUMIFS(PrefFlows!$C:$C,PrefFlows!$A:$A,$Q$1,PrefFlows!$B:$B,$B44)+$R44*SUMIFS(PrefFlows!$C:$C,PrefFlows!$A:$A,$R$1,PrefFlows!$B:$B,$B44)+$S44*SUMIFS(PrefFlows!$C:$C,PrefFlows!$A:$A,$S$1,PrefFlows!$B:$B,$B44),2)</f>
        <v>7.36</v>
      </c>
      <c r="V44" s="3">
        <f>ROUND($Q44*(1-SUMIFS(PrefFlows!$C:$C,PrefFlows!$A:$A,$Q$1,PrefFlows!$B:$B,$B44))+$R44*(1-SUMIFS(PrefFlows!$C:$C,PrefFlows!$A:$A,$R$1,PrefFlows!$B:$B,$B44))+$S44*(1-SUMIFS(PrefFlows!$C:$C,PrefFlows!$A:$A,$S$1,PrefFlows!$B:$B,$B44)),2)</f>
        <v>10.41</v>
      </c>
      <c r="W44" s="4">
        <f t="shared" si="10"/>
        <v>7.77</v>
      </c>
      <c r="X44" s="3">
        <f t="shared" si="11"/>
        <v>10.01</v>
      </c>
      <c r="Y44" s="4">
        <f t="shared" si="12"/>
        <v>0.41420000000000001</v>
      </c>
      <c r="Z44" s="5">
        <f t="shared" si="13"/>
        <v>0.437</v>
      </c>
      <c r="AA44" s="5">
        <f t="shared" si="14"/>
        <v>2.2800000000000001E-2</v>
      </c>
      <c r="AB44" s="3">
        <v>3.4514129652021101E-2</v>
      </c>
      <c r="AC44" s="4">
        <f>ROUND(Q44*(1-(Exhaust!$B$2+AB44)),2)</f>
        <v>2.16</v>
      </c>
      <c r="AD44" s="5">
        <f>ROUND(R44*(1-(Exhaust!$B$3+$AB44)),2)</f>
        <v>4.22</v>
      </c>
      <c r="AE44" s="3">
        <f>ROUND(S44*(1-(Exhaust!$B$4+$AB44)),2)</f>
        <v>2.31</v>
      </c>
      <c r="AF44" s="4">
        <f>ROUND($AC44*(SUMIFS(PrefFlows!$C:$C,PrefFlows!$A:$A,$Q$1,PrefFlows!$B:$B,$B44)+$AA44)+$AD44*(SUMIFS(PrefFlows!$C:$C,PrefFlows!$A:$A,$R$1,PrefFlows!$B:$B,$B44)+$AA44)+$AE44*(SUMIFS(PrefFlows!$C:$C,PrefFlows!$A:$A,$S$1,PrefFlows!$B:$B,$B44)+$AA44),2)</f>
        <v>3.55</v>
      </c>
      <c r="AG44" s="3">
        <f>ROUND($AC44*(1-(SUMIFS(PrefFlows!$C:$C,PrefFlows!$A:$A,$Q$1,PrefFlows!$B:$B,$B44)+$AA44))+$AD44*(1-(SUMIFS(PrefFlows!$C:$C,PrefFlows!$A:$A,$R$1,PrefFlows!$B:$B,$B44)+$AA44))+$AE44*(1-(SUMIFS(PrefFlows!$C:$C,PrefFlows!$A:$A,$S$1,PrefFlows!$B:$B,$B44)+$AA44)),2)</f>
        <v>5.14</v>
      </c>
      <c r="AH44" s="4">
        <f t="shared" si="15"/>
        <v>44.28</v>
      </c>
      <c r="AI44" s="3">
        <f t="shared" si="16"/>
        <v>46.63</v>
      </c>
      <c r="AJ44" s="4">
        <f t="shared" si="17"/>
        <v>48.71</v>
      </c>
      <c r="AK44" s="3">
        <f t="shared" si="17"/>
        <v>51.29</v>
      </c>
      <c r="AL44" s="1">
        <f t="shared" si="22"/>
        <v>-1.5</v>
      </c>
      <c r="AM44" s="1">
        <f t="shared" si="23"/>
        <v>-1.05</v>
      </c>
      <c r="AN44" s="3">
        <f t="shared" si="24"/>
        <v>-1.29</v>
      </c>
      <c r="AO44" s="1" t="b">
        <f t="shared" si="18"/>
        <v>0</v>
      </c>
      <c r="AP44" s="1" t="b">
        <f t="shared" si="18"/>
        <v>0</v>
      </c>
      <c r="AQ44" s="3" t="b">
        <f t="shared" si="19"/>
        <v>0</v>
      </c>
      <c r="AR44" s="1">
        <f t="shared" si="20"/>
        <v>0.44999999999999996</v>
      </c>
      <c r="AS44" s="1">
        <f t="shared" si="20"/>
        <v>0.20999999999999996</v>
      </c>
      <c r="AT44" s="3">
        <f t="shared" si="21"/>
        <v>0.24</v>
      </c>
      <c r="AU44" s="1">
        <f>ROUND(IF($B44="NSW",L44*Meta!$B$6,L44),1)</f>
        <v>4281.8999999999996</v>
      </c>
      <c r="AV44" s="3">
        <f t="shared" si="25"/>
        <v>104567</v>
      </c>
    </row>
    <row r="45" spans="1:48" x14ac:dyDescent="0.55000000000000004">
      <c r="A45" s="2" t="s">
        <v>52</v>
      </c>
      <c r="B45" s="3" t="s">
        <v>9</v>
      </c>
      <c r="C45" s="4">
        <v>38.520000000000003</v>
      </c>
      <c r="D45" s="5">
        <v>39.880000000000003</v>
      </c>
      <c r="E45" s="5">
        <v>0</v>
      </c>
      <c r="F45" s="5">
        <v>2.6</v>
      </c>
      <c r="G45" s="5">
        <v>8.39</v>
      </c>
      <c r="H45" s="5">
        <v>10.61</v>
      </c>
      <c r="I45" s="4">
        <v>47.26</v>
      </c>
      <c r="J45" s="3">
        <v>52.74</v>
      </c>
      <c r="K45" s="4">
        <v>102078</v>
      </c>
      <c r="L45" s="5">
        <v>5250</v>
      </c>
      <c r="M45" s="3">
        <f t="shared" si="4"/>
        <v>96828</v>
      </c>
      <c r="N45" s="5">
        <f t="shared" si="5"/>
        <v>5.1431258449421029E-2</v>
      </c>
      <c r="O45" s="4">
        <f>ROUND($C45+MIN($D45:$E45)*(1-SUMIFS(PrefFlows!$C:$C,PrefFlows!$A:$A,INDEX($D$1:$E$1,MATCH(MIN($D45:$E45),$D45:$E45,0)),PrefFlows!$B:$B,$B45)),2)</f>
        <v>38.520000000000003</v>
      </c>
      <c r="P45" s="5">
        <f>ROUND(MAX($D45:$E45)+MIN($D45:$E45)*SUMIFS(PrefFlows!$C:$C,PrefFlows!$A:$A,INDEX($D$1:$E$1,MATCH(MIN($D45:$E45),$D45:$E45,0)),PrefFlows!$B:$B,$B45),2)</f>
        <v>39.880000000000003</v>
      </c>
      <c r="Q45" s="5">
        <f t="shared" si="26"/>
        <v>2.6</v>
      </c>
      <c r="R45" s="5">
        <f t="shared" si="27"/>
        <v>8.39</v>
      </c>
      <c r="S45" s="3">
        <f t="shared" si="8"/>
        <v>10.61</v>
      </c>
      <c r="T45" s="6">
        <f t="shared" si="9"/>
        <v>1.36</v>
      </c>
      <c r="U45" s="4">
        <f>ROUND($Q45*SUMIFS(PrefFlows!$C:$C,PrefFlows!$A:$A,$Q$1,PrefFlows!$B:$B,$B45)+$R45*SUMIFS(PrefFlows!$C:$C,PrefFlows!$A:$A,$R$1,PrefFlows!$B:$B,$B45)+$S45*SUMIFS(PrefFlows!$C:$C,PrefFlows!$A:$A,$S$1,PrefFlows!$B:$B,$B45),2)</f>
        <v>8.7200000000000006</v>
      </c>
      <c r="V45" s="3">
        <f>ROUND($Q45*(1-SUMIFS(PrefFlows!$C:$C,PrefFlows!$A:$A,$Q$1,PrefFlows!$B:$B,$B45))+$R45*(1-SUMIFS(PrefFlows!$C:$C,PrefFlows!$A:$A,$R$1,PrefFlows!$B:$B,$B45))+$S45*(1-SUMIFS(PrefFlows!$C:$C,PrefFlows!$A:$A,$S$1,PrefFlows!$B:$B,$B45)),2)</f>
        <v>12.88</v>
      </c>
      <c r="W45" s="4">
        <f t="shared" si="10"/>
        <v>7.38</v>
      </c>
      <c r="X45" s="3">
        <f t="shared" si="11"/>
        <v>14.22</v>
      </c>
      <c r="Y45" s="4">
        <f t="shared" si="12"/>
        <v>0.4037</v>
      </c>
      <c r="Z45" s="5">
        <f t="shared" si="13"/>
        <v>0.3417</v>
      </c>
      <c r="AA45" s="5">
        <f t="shared" si="14"/>
        <v>-6.2E-2</v>
      </c>
      <c r="AB45" s="3">
        <v>3.5016303640915403E-2</v>
      </c>
      <c r="AC45" s="4">
        <f>ROUND(Q45*(1-(Exhaust!$B$2+AB45)),2)</f>
        <v>1.05</v>
      </c>
      <c r="AD45" s="5">
        <f>ROUND(R45*(1-(Exhaust!$B$3+$AB45)),2)</f>
        <v>4.74</v>
      </c>
      <c r="AE45" s="3">
        <f>ROUND(S45*(1-(Exhaust!$B$4+$AB45)),2)</f>
        <v>4.93</v>
      </c>
      <c r="AF45" s="4">
        <f>ROUND($AC45*(SUMIFS(PrefFlows!$C:$C,PrefFlows!$A:$A,$Q$1,PrefFlows!$B:$B,$B45)+$AA45)+$AD45*(SUMIFS(PrefFlows!$C:$C,PrefFlows!$A:$A,$R$1,PrefFlows!$B:$B,$B45)+$AA45)+$AE45*(SUMIFS(PrefFlows!$C:$C,PrefFlows!$A:$A,$S$1,PrefFlows!$B:$B,$B45)+$AA45),2)</f>
        <v>3.42</v>
      </c>
      <c r="AG45" s="3">
        <f>ROUND($AC45*(1-(SUMIFS(PrefFlows!$C:$C,PrefFlows!$A:$A,$Q$1,PrefFlows!$B:$B,$B45)+$AA45))+$AD45*(1-(SUMIFS(PrefFlows!$C:$C,PrefFlows!$A:$A,$R$1,PrefFlows!$B:$B,$B45)+$AA45))+$AE45*(1-(SUMIFS(PrefFlows!$C:$C,PrefFlows!$A:$A,$S$1,PrefFlows!$B:$B,$B45)+$AA45)),2)</f>
        <v>7.3</v>
      </c>
      <c r="AH45" s="4">
        <f t="shared" si="15"/>
        <v>43.3</v>
      </c>
      <c r="AI45" s="3">
        <f t="shared" si="16"/>
        <v>45.82</v>
      </c>
      <c r="AJ45" s="4">
        <f t="shared" si="17"/>
        <v>48.59</v>
      </c>
      <c r="AK45" s="3">
        <f t="shared" si="17"/>
        <v>51.41</v>
      </c>
      <c r="AL45" s="1">
        <f t="shared" si="22"/>
        <v>-2.74</v>
      </c>
      <c r="AM45" s="1">
        <f t="shared" si="23"/>
        <v>-1.23</v>
      </c>
      <c r="AN45" s="3">
        <f t="shared" si="24"/>
        <v>-1.41</v>
      </c>
      <c r="AO45" s="1" t="b">
        <f t="shared" si="18"/>
        <v>0</v>
      </c>
      <c r="AP45" s="1" t="b">
        <f t="shared" si="18"/>
        <v>0</v>
      </c>
      <c r="AQ45" s="3" t="b">
        <f t="shared" si="19"/>
        <v>0</v>
      </c>
      <c r="AR45" s="1">
        <f t="shared" si="20"/>
        <v>1.5100000000000002</v>
      </c>
      <c r="AS45" s="1">
        <f t="shared" si="20"/>
        <v>1.3300000000000003</v>
      </c>
      <c r="AT45" s="3">
        <f t="shared" si="21"/>
        <v>0.17999999999999994</v>
      </c>
      <c r="AU45" s="1">
        <f>ROUND(IF($B45="NSW",L45*Meta!$B$6,L45),1)</f>
        <v>5250</v>
      </c>
      <c r="AV45" s="3">
        <f t="shared" si="25"/>
        <v>98001.2</v>
      </c>
    </row>
    <row r="46" spans="1:48" x14ac:dyDescent="0.55000000000000004">
      <c r="A46" s="2" t="s">
        <v>190</v>
      </c>
      <c r="B46" s="3" t="s">
        <v>29</v>
      </c>
      <c r="C46" s="4">
        <v>21.54</v>
      </c>
      <c r="D46" s="5">
        <v>44.3</v>
      </c>
      <c r="E46" s="5">
        <v>10.14</v>
      </c>
      <c r="F46" s="5">
        <v>12.21</v>
      </c>
      <c r="G46" s="5">
        <v>8.09</v>
      </c>
      <c r="H46" s="5">
        <v>3.72</v>
      </c>
      <c r="I46" s="4">
        <v>64.760000000000005</v>
      </c>
      <c r="J46" s="3">
        <v>35.24</v>
      </c>
      <c r="K46" s="4">
        <v>81613</v>
      </c>
      <c r="L46" s="5">
        <v>3892</v>
      </c>
      <c r="M46" s="3">
        <f t="shared" si="4"/>
        <v>77721</v>
      </c>
      <c r="N46" s="5">
        <f t="shared" si="5"/>
        <v>4.7688481001801182E-2</v>
      </c>
      <c r="O46" s="4">
        <f>ROUND($C46+MIN($D46:$E46)*(1-SUMIFS(PrefFlows!$C:$C,PrefFlows!$A:$A,INDEX($D$1:$E$1,MATCH(MIN($D46:$E46),$D46:$E46,0)),PrefFlows!$B:$B,$B46)),2)</f>
        <v>23.29</v>
      </c>
      <c r="P46" s="5">
        <f>ROUND(MAX($D46:$E46)+MIN($D46:$E46)*SUMIFS(PrefFlows!$C:$C,PrefFlows!$A:$A,INDEX($D$1:$E$1,MATCH(MIN($D46:$E46),$D46:$E46,0)),PrefFlows!$B:$B,$B46),2)</f>
        <v>52.69</v>
      </c>
      <c r="Q46" s="5">
        <f t="shared" si="26"/>
        <v>12.21</v>
      </c>
      <c r="R46" s="5">
        <f t="shared" si="27"/>
        <v>8.09</v>
      </c>
      <c r="S46" s="3">
        <f t="shared" si="8"/>
        <v>3.72</v>
      </c>
      <c r="T46" s="6">
        <f t="shared" si="9"/>
        <v>29.4</v>
      </c>
      <c r="U46" s="4">
        <f>ROUND($Q46*SUMIFS(PrefFlows!$C:$C,PrefFlows!$A:$A,$Q$1,PrefFlows!$B:$B,$B46)+$R46*SUMIFS(PrefFlows!$C:$C,PrefFlows!$A:$A,$R$1,PrefFlows!$B:$B,$B46)+$S46*SUMIFS(PrefFlows!$C:$C,PrefFlows!$A:$A,$S$1,PrefFlows!$B:$B,$B46),2)</f>
        <v>11.36</v>
      </c>
      <c r="V46" s="3">
        <f>ROUND($Q46*(1-SUMIFS(PrefFlows!$C:$C,PrefFlows!$A:$A,$Q$1,PrefFlows!$B:$B,$B46))+$R46*(1-SUMIFS(PrefFlows!$C:$C,PrefFlows!$A:$A,$R$1,PrefFlows!$B:$B,$B46))+$S46*(1-SUMIFS(PrefFlows!$C:$C,PrefFlows!$A:$A,$S$1,PrefFlows!$B:$B,$B46)),2)</f>
        <v>12.66</v>
      </c>
      <c r="W46" s="4">
        <f t="shared" si="10"/>
        <v>12.07</v>
      </c>
      <c r="X46" s="3">
        <f t="shared" si="11"/>
        <v>11.95</v>
      </c>
      <c r="Y46" s="4">
        <f t="shared" si="12"/>
        <v>0.47289999999999999</v>
      </c>
      <c r="Z46" s="5">
        <f t="shared" si="13"/>
        <v>0.50249999999999995</v>
      </c>
      <c r="AA46" s="5">
        <f t="shared" si="14"/>
        <v>2.9600000000000001E-2</v>
      </c>
      <c r="AB46" s="3">
        <v>4.5131181156382101E-2</v>
      </c>
      <c r="AC46" s="4">
        <f>ROUND(Q46*(1-(Exhaust!$B$2+AB46)),2)</f>
        <v>4.82</v>
      </c>
      <c r="AD46" s="5">
        <f>ROUND(R46*(1-(Exhaust!$B$3+$AB46)),2)</f>
        <v>4.49</v>
      </c>
      <c r="AE46" s="3">
        <f>ROUND(S46*(1-(Exhaust!$B$4+$AB46)),2)</f>
        <v>1.69</v>
      </c>
      <c r="AF46" s="4">
        <f>ROUND($AC46*(SUMIFS(PrefFlows!$C:$C,PrefFlows!$A:$A,$Q$1,PrefFlows!$B:$B,$B46)+$AA46)+$AD46*(SUMIFS(PrefFlows!$C:$C,PrefFlows!$A:$A,$R$1,PrefFlows!$B:$B,$B46)+$AA46)+$AE46*(SUMIFS(PrefFlows!$C:$C,PrefFlows!$A:$A,$S$1,PrefFlows!$B:$B,$B46)+$AA46),2)</f>
        <v>5.19</v>
      </c>
      <c r="AG46" s="3">
        <f>ROUND($AC46*(1-(SUMIFS(PrefFlows!$C:$C,PrefFlows!$A:$A,$Q$1,PrefFlows!$B:$B,$B46)+$AA46))+$AD46*(1-(SUMIFS(PrefFlows!$C:$C,PrefFlows!$A:$A,$R$1,PrefFlows!$B:$B,$B46)+$AA46))+$AE46*(1-(SUMIFS(PrefFlows!$C:$C,PrefFlows!$A:$A,$S$1,PrefFlows!$B:$B,$B46)+$AA46)),2)</f>
        <v>5.81</v>
      </c>
      <c r="AH46" s="4">
        <f t="shared" si="15"/>
        <v>57.88</v>
      </c>
      <c r="AI46" s="3">
        <f t="shared" si="16"/>
        <v>29.1</v>
      </c>
      <c r="AJ46" s="4">
        <f t="shared" si="17"/>
        <v>66.540000000000006</v>
      </c>
      <c r="AK46" s="3">
        <f t="shared" si="17"/>
        <v>33.46</v>
      </c>
      <c r="AL46" s="1">
        <f t="shared" si="22"/>
        <v>14.76</v>
      </c>
      <c r="AM46" s="1">
        <f t="shared" si="23"/>
        <v>16.649999999999999</v>
      </c>
      <c r="AN46" s="3">
        <f t="shared" si="24"/>
        <v>16.54</v>
      </c>
      <c r="AO46" s="1" t="b">
        <f t="shared" si="18"/>
        <v>0</v>
      </c>
      <c r="AP46" s="1" t="b">
        <f t="shared" si="18"/>
        <v>0</v>
      </c>
      <c r="AQ46" s="3" t="b">
        <f t="shared" si="19"/>
        <v>0</v>
      </c>
      <c r="AR46" s="1">
        <f t="shared" si="20"/>
        <v>1.8899999999999988</v>
      </c>
      <c r="AS46" s="1">
        <f t="shared" si="20"/>
        <v>1.7799999999999994</v>
      </c>
      <c r="AT46" s="3">
        <f t="shared" si="21"/>
        <v>0.10999999999999943</v>
      </c>
      <c r="AU46" s="1">
        <f>ROUND(IF($B46="NSW",L46*Meta!$B$6,L46),1)</f>
        <v>3892</v>
      </c>
      <c r="AV46" s="3">
        <f t="shared" si="25"/>
        <v>78590.7</v>
      </c>
    </row>
    <row r="47" spans="1:48" x14ac:dyDescent="0.55000000000000004">
      <c r="A47" s="2" t="s">
        <v>53</v>
      </c>
      <c r="B47" s="3" t="s">
        <v>12</v>
      </c>
      <c r="C47" s="4">
        <v>39.17</v>
      </c>
      <c r="D47" s="5">
        <v>37.01</v>
      </c>
      <c r="E47" s="5">
        <v>6.95</v>
      </c>
      <c r="F47" s="5">
        <v>2.77</v>
      </c>
      <c r="G47" s="5">
        <v>8.7799999999999994</v>
      </c>
      <c r="H47" s="5">
        <v>5.33</v>
      </c>
      <c r="I47" s="4">
        <v>49.15</v>
      </c>
      <c r="J47" s="3">
        <v>50.85</v>
      </c>
      <c r="K47" s="4">
        <v>106505</v>
      </c>
      <c r="L47" s="5">
        <v>7246</v>
      </c>
      <c r="M47" s="3">
        <f t="shared" si="4"/>
        <v>99259</v>
      </c>
      <c r="N47" s="5">
        <f t="shared" si="5"/>
        <v>6.8034364583822352E-2</v>
      </c>
      <c r="O47" s="4">
        <f>ROUND($C47+MIN($D47:$E47)*(1-SUMIFS(PrefFlows!$C:$C,PrefFlows!$A:$A,INDEX($D$1:$E$1,MATCH(MIN($D47:$E47),$D47:$E47,0)),PrefFlows!$B:$B,$B47)),2)</f>
        <v>40.22</v>
      </c>
      <c r="P47" s="5">
        <f>ROUND(MAX($D47:$E47)+MIN($D47:$E47)*SUMIFS(PrefFlows!$C:$C,PrefFlows!$A:$A,INDEX($D$1:$E$1,MATCH(MIN($D47:$E47),$D47:$E47,0)),PrefFlows!$B:$B,$B47),2)</f>
        <v>42.91</v>
      </c>
      <c r="Q47" s="5">
        <f t="shared" si="26"/>
        <v>2.77</v>
      </c>
      <c r="R47" s="5">
        <f t="shared" si="27"/>
        <v>8.7799999999999994</v>
      </c>
      <c r="S47" s="3">
        <f t="shared" si="8"/>
        <v>5.33</v>
      </c>
      <c r="T47" s="6">
        <f t="shared" si="9"/>
        <v>2.69</v>
      </c>
      <c r="U47" s="4">
        <f>ROUND($Q47*SUMIFS(PrefFlows!$C:$C,PrefFlows!$A:$A,$Q$1,PrefFlows!$B:$B,$B47)+$R47*SUMIFS(PrefFlows!$C:$C,PrefFlows!$A:$A,$R$1,PrefFlows!$B:$B,$B47)+$S47*SUMIFS(PrefFlows!$C:$C,PrefFlows!$A:$A,$S$1,PrefFlows!$B:$B,$B47),2)</f>
        <v>6.13</v>
      </c>
      <c r="V47" s="3">
        <f>ROUND($Q47*(1-SUMIFS(PrefFlows!$C:$C,PrefFlows!$A:$A,$Q$1,PrefFlows!$B:$B,$B47))+$R47*(1-SUMIFS(PrefFlows!$C:$C,PrefFlows!$A:$A,$R$1,PrefFlows!$B:$B,$B47))+$S47*(1-SUMIFS(PrefFlows!$C:$C,PrefFlows!$A:$A,$S$1,PrefFlows!$B:$B,$B47)),2)</f>
        <v>10.75</v>
      </c>
      <c r="W47" s="4">
        <f t="shared" si="10"/>
        <v>6.24</v>
      </c>
      <c r="X47" s="3">
        <f t="shared" si="11"/>
        <v>10.63</v>
      </c>
      <c r="Y47" s="4">
        <f t="shared" si="12"/>
        <v>0.36320000000000002</v>
      </c>
      <c r="Z47" s="5">
        <f t="shared" si="13"/>
        <v>0.36990000000000001</v>
      </c>
      <c r="AA47" s="5">
        <f t="shared" si="14"/>
        <v>6.7000000000000002E-3</v>
      </c>
      <c r="AB47" s="3">
        <v>7.7277100367072098E-3</v>
      </c>
      <c r="AC47" s="4">
        <f>ROUND(Q47*(1-(Exhaust!$B$2+AB47)),2)</f>
        <v>1.2</v>
      </c>
      <c r="AD47" s="5">
        <f>ROUND(R47*(1-(Exhaust!$B$3+$AB47)),2)</f>
        <v>5.2</v>
      </c>
      <c r="AE47" s="3">
        <f>ROUND(S47*(1-(Exhaust!$B$4+$AB47)),2)</f>
        <v>2.62</v>
      </c>
      <c r="AF47" s="4">
        <f>ROUND($AC47*(SUMIFS(PrefFlows!$C:$C,PrefFlows!$A:$A,$Q$1,PrefFlows!$B:$B,$B47)+$AA47)+$AD47*(SUMIFS(PrefFlows!$C:$C,PrefFlows!$A:$A,$R$1,PrefFlows!$B:$B,$B47)+$AA47)+$AE47*(SUMIFS(PrefFlows!$C:$C,PrefFlows!$A:$A,$S$1,PrefFlows!$B:$B,$B47)+$AA47),2)</f>
        <v>3.13</v>
      </c>
      <c r="AG47" s="3">
        <f>ROUND($AC47*(1-(SUMIFS(PrefFlows!$C:$C,PrefFlows!$A:$A,$Q$1,PrefFlows!$B:$B,$B47)+$AA47))+$AD47*(1-(SUMIFS(PrefFlows!$C:$C,PrefFlows!$A:$A,$R$1,PrefFlows!$B:$B,$B47)+$AA47))+$AE47*(1-(SUMIFS(PrefFlows!$C:$C,PrefFlows!$A:$A,$S$1,PrefFlows!$B:$B,$B47)+$AA47)),2)</f>
        <v>5.89</v>
      </c>
      <c r="AH47" s="4">
        <f t="shared" si="15"/>
        <v>46.04</v>
      </c>
      <c r="AI47" s="3">
        <f t="shared" si="16"/>
        <v>46.11</v>
      </c>
      <c r="AJ47" s="4">
        <f t="shared" si="17"/>
        <v>49.96</v>
      </c>
      <c r="AK47" s="3">
        <f t="shared" si="17"/>
        <v>50.04</v>
      </c>
      <c r="AL47" s="1">
        <f t="shared" si="22"/>
        <v>-0.85</v>
      </c>
      <c r="AM47" s="1">
        <f t="shared" si="23"/>
        <v>0.22</v>
      </c>
      <c r="AN47" s="3">
        <f t="shared" si="24"/>
        <v>-0.04</v>
      </c>
      <c r="AO47" s="1" t="b">
        <f t="shared" si="18"/>
        <v>1</v>
      </c>
      <c r="AP47" s="1" t="b">
        <f t="shared" si="18"/>
        <v>0</v>
      </c>
      <c r="AQ47" s="3" t="b">
        <f t="shared" si="19"/>
        <v>1</v>
      </c>
      <c r="AR47" s="1">
        <f t="shared" si="20"/>
        <v>1.07</v>
      </c>
      <c r="AS47" s="1">
        <f t="shared" si="20"/>
        <v>0.80999999999999994</v>
      </c>
      <c r="AT47" s="3">
        <f t="shared" si="21"/>
        <v>0.26</v>
      </c>
      <c r="AU47" s="1">
        <f>ROUND(IF($B47="NSW",L47*Meta!$B$6,L47),1)</f>
        <v>4818.6000000000004</v>
      </c>
      <c r="AV47" s="3">
        <f t="shared" si="25"/>
        <v>102763.2</v>
      </c>
    </row>
    <row r="48" spans="1:48" x14ac:dyDescent="0.55000000000000004">
      <c r="A48" s="2" t="s">
        <v>54</v>
      </c>
      <c r="B48" s="3" t="s">
        <v>21</v>
      </c>
      <c r="C48" s="4">
        <v>22.51</v>
      </c>
      <c r="D48" s="5">
        <v>48.72</v>
      </c>
      <c r="E48" s="5">
        <v>0</v>
      </c>
      <c r="F48" s="5">
        <v>13.68</v>
      </c>
      <c r="G48" s="5">
        <v>9</v>
      </c>
      <c r="H48" s="5">
        <v>6.09</v>
      </c>
      <c r="I48" s="4">
        <v>64.180000000000007</v>
      </c>
      <c r="J48" s="3">
        <v>35.82</v>
      </c>
      <c r="K48" s="4">
        <v>102231</v>
      </c>
      <c r="L48" s="5">
        <v>5019</v>
      </c>
      <c r="M48" s="3">
        <f t="shared" si="4"/>
        <v>97212</v>
      </c>
      <c r="N48" s="5">
        <f t="shared" si="5"/>
        <v>4.909469730316636E-2</v>
      </c>
      <c r="O48" s="4">
        <f>ROUND($C48+MIN($D48:$E48)*(1-SUMIFS(PrefFlows!$C:$C,PrefFlows!$A:$A,INDEX($D$1:$E$1,MATCH(MIN($D48:$E48),$D48:$E48,0)),PrefFlows!$B:$B,$B48)),2)</f>
        <v>22.51</v>
      </c>
      <c r="P48" s="5">
        <f>ROUND(MAX($D48:$E48)+MIN($D48:$E48)*SUMIFS(PrefFlows!$C:$C,PrefFlows!$A:$A,INDEX($D$1:$E$1,MATCH(MIN($D48:$E48),$D48:$E48,0)),PrefFlows!$B:$B,$B48),2)</f>
        <v>48.72</v>
      </c>
      <c r="Q48" s="5">
        <f t="shared" si="26"/>
        <v>13.68</v>
      </c>
      <c r="R48" s="5">
        <f t="shared" si="27"/>
        <v>9</v>
      </c>
      <c r="S48" s="3">
        <f t="shared" si="8"/>
        <v>6.09</v>
      </c>
      <c r="T48" s="6">
        <f t="shared" si="9"/>
        <v>26.21</v>
      </c>
      <c r="U48" s="4">
        <f>ROUND($Q48*SUMIFS(PrefFlows!$C:$C,PrefFlows!$A:$A,$Q$1,PrefFlows!$B:$B,$B48)+$R48*SUMIFS(PrefFlows!$C:$C,PrefFlows!$A:$A,$R$1,PrefFlows!$B:$B,$B48)+$S48*SUMIFS(PrefFlows!$C:$C,PrefFlows!$A:$A,$S$1,PrefFlows!$B:$B,$B48),2)</f>
        <v>14.16</v>
      </c>
      <c r="V48" s="3">
        <f>ROUND($Q48*(1-SUMIFS(PrefFlows!$C:$C,PrefFlows!$A:$A,$Q$1,PrefFlows!$B:$B,$B48))+$R48*(1-SUMIFS(PrefFlows!$C:$C,PrefFlows!$A:$A,$R$1,PrefFlows!$B:$B,$B48))+$S48*(1-SUMIFS(PrefFlows!$C:$C,PrefFlows!$A:$A,$S$1,PrefFlows!$B:$B,$B48)),2)</f>
        <v>14.61</v>
      </c>
      <c r="W48" s="4">
        <f t="shared" si="10"/>
        <v>15.46</v>
      </c>
      <c r="X48" s="3">
        <f t="shared" si="11"/>
        <v>13.31</v>
      </c>
      <c r="Y48" s="4">
        <f t="shared" si="12"/>
        <v>0.49220000000000003</v>
      </c>
      <c r="Z48" s="5">
        <f t="shared" si="13"/>
        <v>0.53739999999999999</v>
      </c>
      <c r="AA48" s="5">
        <f t="shared" si="14"/>
        <v>4.5199999999999997E-2</v>
      </c>
      <c r="AB48" s="3">
        <v>4.3881459848403498E-2</v>
      </c>
      <c r="AC48" s="4">
        <f>ROUND(Q48*(1-(Exhaust!$B$2+AB48)),2)</f>
        <v>5.42</v>
      </c>
      <c r="AD48" s="5">
        <f>ROUND(R48*(1-(Exhaust!$B$3+$AB48)),2)</f>
        <v>5.01</v>
      </c>
      <c r="AE48" s="3">
        <f>ROUND(S48*(1-(Exhaust!$B$4+$AB48)),2)</f>
        <v>2.78</v>
      </c>
      <c r="AF48" s="4">
        <f>ROUND($AC48*(SUMIFS(PrefFlows!$C:$C,PrefFlows!$A:$A,$Q$1,PrefFlows!$B:$B,$B48)+$AA48)+$AD48*(SUMIFS(PrefFlows!$C:$C,PrefFlows!$A:$A,$R$1,PrefFlows!$B:$B,$B48)+$AA48)+$AE48*(SUMIFS(PrefFlows!$C:$C,PrefFlows!$A:$A,$S$1,PrefFlows!$B:$B,$B48)+$AA48),2)</f>
        <v>6.69</v>
      </c>
      <c r="AG48" s="3">
        <f>ROUND($AC48*(1-(SUMIFS(PrefFlows!$C:$C,PrefFlows!$A:$A,$Q$1,PrefFlows!$B:$B,$B48)+$AA48))+$AD48*(1-(SUMIFS(PrefFlows!$C:$C,PrefFlows!$A:$A,$R$1,PrefFlows!$B:$B,$B48)+$AA48))+$AE48*(1-(SUMIFS(PrefFlows!$C:$C,PrefFlows!$A:$A,$S$1,PrefFlows!$B:$B,$B48)+$AA48)),2)</f>
        <v>6.52</v>
      </c>
      <c r="AH48" s="4">
        <f t="shared" si="15"/>
        <v>55.41</v>
      </c>
      <c r="AI48" s="3">
        <f t="shared" si="16"/>
        <v>29.03</v>
      </c>
      <c r="AJ48" s="4">
        <f t="shared" si="17"/>
        <v>65.62</v>
      </c>
      <c r="AK48" s="3">
        <f t="shared" si="17"/>
        <v>34.380000000000003</v>
      </c>
      <c r="AL48" s="1">
        <f t="shared" si="22"/>
        <v>14.18</v>
      </c>
      <c r="AM48" s="1">
        <f t="shared" si="23"/>
        <v>15.85</v>
      </c>
      <c r="AN48" s="3">
        <f t="shared" si="24"/>
        <v>15.62</v>
      </c>
      <c r="AO48" s="1" t="b">
        <f t="shared" si="18"/>
        <v>0</v>
      </c>
      <c r="AP48" s="1" t="b">
        <f t="shared" si="18"/>
        <v>0</v>
      </c>
      <c r="AQ48" s="3" t="b">
        <f t="shared" si="19"/>
        <v>0</v>
      </c>
      <c r="AR48" s="1">
        <f t="shared" si="20"/>
        <v>1.67</v>
      </c>
      <c r="AS48" s="1">
        <f t="shared" si="20"/>
        <v>1.4399999999999995</v>
      </c>
      <c r="AT48" s="3">
        <f t="shared" si="21"/>
        <v>0.23000000000000043</v>
      </c>
      <c r="AU48" s="1">
        <f>ROUND(IF($B48="NSW",L48*Meta!$B$6,L48),1)</f>
        <v>5019</v>
      </c>
      <c r="AV48" s="3">
        <f t="shared" si="25"/>
        <v>98333.6</v>
      </c>
    </row>
    <row r="49" spans="1:48" x14ac:dyDescent="0.55000000000000004">
      <c r="A49" s="2" t="s">
        <v>55</v>
      </c>
      <c r="B49" s="3" t="s">
        <v>21</v>
      </c>
      <c r="C49" s="4">
        <v>21.48</v>
      </c>
      <c r="D49" s="5">
        <v>49.62</v>
      </c>
      <c r="E49" s="5">
        <v>0</v>
      </c>
      <c r="F49" s="5">
        <v>10.91</v>
      </c>
      <c r="G49" s="5">
        <v>12.59</v>
      </c>
      <c r="H49" s="5">
        <v>5.4</v>
      </c>
      <c r="I49" s="4">
        <v>63.44</v>
      </c>
      <c r="J49" s="3">
        <v>36.56</v>
      </c>
      <c r="K49" s="4">
        <v>104355</v>
      </c>
      <c r="L49" s="5">
        <v>6715</v>
      </c>
      <c r="M49" s="3">
        <f t="shared" si="4"/>
        <v>97640</v>
      </c>
      <c r="N49" s="5">
        <f t="shared" si="5"/>
        <v>6.4347659431747403E-2</v>
      </c>
      <c r="O49" s="4">
        <f>ROUND($C49+MIN($D49:$E49)*(1-SUMIFS(PrefFlows!$C:$C,PrefFlows!$A:$A,INDEX($D$1:$E$1,MATCH(MIN($D49:$E49),$D49:$E49,0)),PrefFlows!$B:$B,$B49)),2)</f>
        <v>21.48</v>
      </c>
      <c r="P49" s="5">
        <f>ROUND(MAX($D49:$E49)+MIN($D49:$E49)*SUMIFS(PrefFlows!$C:$C,PrefFlows!$A:$A,INDEX($D$1:$E$1,MATCH(MIN($D49:$E49),$D49:$E49,0)),PrefFlows!$B:$B,$B49),2)</f>
        <v>49.62</v>
      </c>
      <c r="Q49" s="5">
        <f t="shared" si="26"/>
        <v>10.91</v>
      </c>
      <c r="R49" s="5">
        <f t="shared" si="27"/>
        <v>12.59</v>
      </c>
      <c r="S49" s="3">
        <f t="shared" si="8"/>
        <v>5.4</v>
      </c>
      <c r="T49" s="6">
        <f t="shared" si="9"/>
        <v>28.14</v>
      </c>
      <c r="U49" s="4">
        <f>ROUND($Q49*SUMIFS(PrefFlows!$C:$C,PrefFlows!$A:$A,$Q$1,PrefFlows!$B:$B,$B49)+$R49*SUMIFS(PrefFlows!$C:$C,PrefFlows!$A:$A,$R$1,PrefFlows!$B:$B,$B49)+$S49*SUMIFS(PrefFlows!$C:$C,PrefFlows!$A:$A,$S$1,PrefFlows!$B:$B,$B49),2)</f>
        <v>12.68</v>
      </c>
      <c r="V49" s="3">
        <f>ROUND($Q49*(1-SUMIFS(PrefFlows!$C:$C,PrefFlows!$A:$A,$Q$1,PrefFlows!$B:$B,$B49))+$R49*(1-SUMIFS(PrefFlows!$C:$C,PrefFlows!$A:$A,$R$1,PrefFlows!$B:$B,$B49))+$S49*(1-SUMIFS(PrefFlows!$C:$C,PrefFlows!$A:$A,$S$1,PrefFlows!$B:$B,$B49)),2)</f>
        <v>16.22</v>
      </c>
      <c r="W49" s="4">
        <f t="shared" si="10"/>
        <v>13.82</v>
      </c>
      <c r="X49" s="3">
        <f t="shared" si="11"/>
        <v>15.08</v>
      </c>
      <c r="Y49" s="4">
        <f t="shared" si="12"/>
        <v>0.43880000000000002</v>
      </c>
      <c r="Z49" s="5">
        <f t="shared" si="13"/>
        <v>0.47820000000000001</v>
      </c>
      <c r="AA49" s="5">
        <f t="shared" si="14"/>
        <v>3.9399999999999998E-2</v>
      </c>
      <c r="AB49" s="3">
        <v>1.3048257381585099E-2</v>
      </c>
      <c r="AC49" s="4">
        <f>ROUND(Q49*(1-(Exhaust!$B$2+AB49)),2)</f>
        <v>4.66</v>
      </c>
      <c r="AD49" s="5">
        <f>ROUND(R49*(1-(Exhaust!$B$3+$AB49)),2)</f>
        <v>7.39</v>
      </c>
      <c r="AE49" s="3">
        <f>ROUND(S49*(1-(Exhaust!$B$4+$AB49)),2)</f>
        <v>2.63</v>
      </c>
      <c r="AF49" s="4">
        <f>ROUND($AC49*(SUMIFS(PrefFlows!$C:$C,PrefFlows!$A:$A,$Q$1,PrefFlows!$B:$B,$B49)+$AA49)+$AD49*(SUMIFS(PrefFlows!$C:$C,PrefFlows!$A:$A,$R$1,PrefFlows!$B:$B,$B49)+$AA49)+$AE49*(SUMIFS(PrefFlows!$C:$C,PrefFlows!$A:$A,$S$1,PrefFlows!$B:$B,$B49)+$AA49),2)</f>
        <v>6.57</v>
      </c>
      <c r="AG49" s="3">
        <f>ROUND($AC49*(1-(SUMIFS(PrefFlows!$C:$C,PrefFlows!$A:$A,$Q$1,PrefFlows!$B:$B,$B49)+$AA49))+$AD49*(1-(SUMIFS(PrefFlows!$C:$C,PrefFlows!$A:$A,$R$1,PrefFlows!$B:$B,$B49)+$AA49))+$AE49*(1-(SUMIFS(PrefFlows!$C:$C,PrefFlows!$A:$A,$S$1,PrefFlows!$B:$B,$B49)+$AA49)),2)</f>
        <v>8.11</v>
      </c>
      <c r="AH49" s="4">
        <f t="shared" si="15"/>
        <v>56.19</v>
      </c>
      <c r="AI49" s="3">
        <f t="shared" si="16"/>
        <v>29.59</v>
      </c>
      <c r="AJ49" s="4">
        <f t="shared" si="17"/>
        <v>65.5</v>
      </c>
      <c r="AK49" s="3">
        <f t="shared" si="17"/>
        <v>34.5</v>
      </c>
      <c r="AL49" s="1">
        <f t="shared" si="22"/>
        <v>13.44</v>
      </c>
      <c r="AM49" s="1">
        <f t="shared" si="23"/>
        <v>15.96</v>
      </c>
      <c r="AN49" s="3">
        <f t="shared" si="24"/>
        <v>15.5</v>
      </c>
      <c r="AO49" s="1" t="b">
        <f t="shared" si="18"/>
        <v>0</v>
      </c>
      <c r="AP49" s="1" t="b">
        <f t="shared" si="18"/>
        <v>0</v>
      </c>
      <c r="AQ49" s="3" t="b">
        <f t="shared" si="19"/>
        <v>0</v>
      </c>
      <c r="AR49" s="1">
        <f t="shared" si="20"/>
        <v>2.5200000000000014</v>
      </c>
      <c r="AS49" s="1">
        <f t="shared" si="20"/>
        <v>2.0600000000000005</v>
      </c>
      <c r="AT49" s="3">
        <f t="shared" si="21"/>
        <v>0.46000000000000085</v>
      </c>
      <c r="AU49" s="1">
        <f>ROUND(IF($B49="NSW",L49*Meta!$B$6,L49),1)</f>
        <v>6715</v>
      </c>
      <c r="AV49" s="3">
        <f t="shared" si="25"/>
        <v>99140.6</v>
      </c>
    </row>
    <row r="50" spans="1:48" x14ac:dyDescent="0.55000000000000004">
      <c r="A50" s="2" t="s">
        <v>56</v>
      </c>
      <c r="B50" s="3" t="s">
        <v>12</v>
      </c>
      <c r="C50" s="4">
        <v>14.64</v>
      </c>
      <c r="D50" s="5">
        <v>50.71</v>
      </c>
      <c r="E50" s="5">
        <v>0</v>
      </c>
      <c r="F50" s="5">
        <v>4.26</v>
      </c>
      <c r="G50" s="5">
        <v>4.66</v>
      </c>
      <c r="H50" s="5">
        <v>25.73</v>
      </c>
      <c r="I50" s="4">
        <v>69.83</v>
      </c>
      <c r="J50" s="3">
        <v>30.17</v>
      </c>
      <c r="K50" s="4">
        <v>107017</v>
      </c>
      <c r="L50" s="5">
        <v>9768</v>
      </c>
      <c r="M50" s="3">
        <f t="shared" si="4"/>
        <v>97249</v>
      </c>
      <c r="N50" s="5">
        <f t="shared" si="5"/>
        <v>9.1275217956025681E-2</v>
      </c>
      <c r="O50" s="4">
        <f>ROUND($C50+MIN($D50:$E50)*(1-SUMIFS(PrefFlows!$C:$C,PrefFlows!$A:$A,INDEX($D$1:$E$1,MATCH(MIN($D50:$E50),$D50:$E50,0)),PrefFlows!$B:$B,$B50)),2)</f>
        <v>14.64</v>
      </c>
      <c r="P50" s="5">
        <f>ROUND(MAX($D50:$E50)+MIN($D50:$E50)*SUMIFS(PrefFlows!$C:$C,PrefFlows!$A:$A,INDEX($D$1:$E$1,MATCH(MIN($D50:$E50),$D50:$E50,0)),PrefFlows!$B:$B,$B50),2)</f>
        <v>50.71</v>
      </c>
      <c r="Q50" s="5">
        <f t="shared" si="26"/>
        <v>4.26</v>
      </c>
      <c r="R50" s="5">
        <f t="shared" si="27"/>
        <v>4.66</v>
      </c>
      <c r="S50" s="3">
        <f t="shared" si="8"/>
        <v>25.73</v>
      </c>
      <c r="T50" s="6">
        <f t="shared" si="9"/>
        <v>36.07</v>
      </c>
      <c r="U50" s="4">
        <f>ROUND($Q50*SUMIFS(PrefFlows!$C:$C,PrefFlows!$A:$A,$Q$1,PrefFlows!$B:$B,$B50)+$R50*SUMIFS(PrefFlows!$C:$C,PrefFlows!$A:$A,$R$1,PrefFlows!$B:$B,$B50)+$S50*SUMIFS(PrefFlows!$C:$C,PrefFlows!$A:$A,$S$1,PrefFlows!$B:$B,$B50),2)</f>
        <v>17</v>
      </c>
      <c r="V50" s="3">
        <f>ROUND($Q50*(1-SUMIFS(PrefFlows!$C:$C,PrefFlows!$A:$A,$Q$1,PrefFlows!$B:$B,$B50))+$R50*(1-SUMIFS(PrefFlows!$C:$C,PrefFlows!$A:$A,$R$1,PrefFlows!$B:$B,$B50))+$S50*(1-SUMIFS(PrefFlows!$C:$C,PrefFlows!$A:$A,$S$1,PrefFlows!$B:$B,$B50)),2)</f>
        <v>17.649999999999999</v>
      </c>
      <c r="W50" s="4">
        <f t="shared" si="10"/>
        <v>19.12</v>
      </c>
      <c r="X50" s="3">
        <f t="shared" si="11"/>
        <v>15.53</v>
      </c>
      <c r="Y50" s="4">
        <f t="shared" si="12"/>
        <v>0.49059999999999998</v>
      </c>
      <c r="Z50" s="5">
        <f t="shared" si="13"/>
        <v>0.55179999999999996</v>
      </c>
      <c r="AA50" s="5">
        <f t="shared" si="14"/>
        <v>6.1199999999999997E-2</v>
      </c>
      <c r="AB50" s="3">
        <v>3.0354245391325699E-2</v>
      </c>
      <c r="AC50" s="4">
        <f>ROUND(Q50*(1-(Exhaust!$B$2+AB50)),2)</f>
        <v>1.75</v>
      </c>
      <c r="AD50" s="5">
        <f>ROUND(R50*(1-(Exhaust!$B$3+$AB50)),2)</f>
        <v>2.65</v>
      </c>
      <c r="AE50" s="3">
        <f>ROUND(S50*(1-(Exhaust!$B$4+$AB50)),2)</f>
        <v>12.08</v>
      </c>
      <c r="AF50" s="4">
        <f>ROUND($AC50*(SUMIFS(PrefFlows!$C:$C,PrefFlows!$A:$A,$Q$1,PrefFlows!$B:$B,$B50)+$AA50)+$AD50*(SUMIFS(PrefFlows!$C:$C,PrefFlows!$A:$A,$R$1,PrefFlows!$B:$B,$B50)+$AA50)+$AE50*(SUMIFS(PrefFlows!$C:$C,PrefFlows!$A:$A,$S$1,PrefFlows!$B:$B,$B50)+$AA50),2)</f>
        <v>8.91</v>
      </c>
      <c r="AG50" s="3">
        <f>ROUND($AC50*(1-(SUMIFS(PrefFlows!$C:$C,PrefFlows!$A:$A,$Q$1,PrefFlows!$B:$B,$B50)+$AA50))+$AD50*(1-(SUMIFS(PrefFlows!$C:$C,PrefFlows!$A:$A,$R$1,PrefFlows!$B:$B,$B50)+$AA50))+$AE50*(1-(SUMIFS(PrefFlows!$C:$C,PrefFlows!$A:$A,$S$1,PrefFlows!$B:$B,$B50)+$AA50)),2)</f>
        <v>7.57</v>
      </c>
      <c r="AH50" s="4">
        <f t="shared" si="15"/>
        <v>59.62</v>
      </c>
      <c r="AI50" s="3">
        <f t="shared" si="16"/>
        <v>22.21</v>
      </c>
      <c r="AJ50" s="4">
        <f t="shared" si="17"/>
        <v>72.86</v>
      </c>
      <c r="AK50" s="3">
        <f t="shared" si="17"/>
        <v>27.14</v>
      </c>
      <c r="AL50" s="1">
        <f t="shared" si="22"/>
        <v>19.829999999999998</v>
      </c>
      <c r="AM50" s="1">
        <f t="shared" si="23"/>
        <v>22.75</v>
      </c>
      <c r="AN50" s="3">
        <f t="shared" si="24"/>
        <v>22.86</v>
      </c>
      <c r="AO50" s="1" t="b">
        <f t="shared" si="18"/>
        <v>0</v>
      </c>
      <c r="AP50" s="1" t="b">
        <f t="shared" si="18"/>
        <v>0</v>
      </c>
      <c r="AQ50" s="3" t="b">
        <f t="shared" si="19"/>
        <v>0</v>
      </c>
      <c r="AR50" s="1">
        <f t="shared" si="20"/>
        <v>2.9200000000000017</v>
      </c>
      <c r="AS50" s="1">
        <f t="shared" si="20"/>
        <v>3.0300000000000011</v>
      </c>
      <c r="AT50" s="3">
        <f t="shared" si="21"/>
        <v>0.10999999999999943</v>
      </c>
      <c r="AU50" s="1">
        <f>ROUND(IF($B50="NSW",L50*Meta!$B$6,L50),1)</f>
        <v>6495.7</v>
      </c>
      <c r="AV50" s="3">
        <f t="shared" si="25"/>
        <v>101972.9</v>
      </c>
    </row>
    <row r="51" spans="1:48" x14ac:dyDescent="0.55000000000000004">
      <c r="A51" s="2" t="s">
        <v>205</v>
      </c>
      <c r="B51" s="3" t="s">
        <v>35</v>
      </c>
      <c r="C51" s="4">
        <v>44.86</v>
      </c>
      <c r="D51" s="5">
        <v>34.659999999999997</v>
      </c>
      <c r="E51" s="5">
        <v>0</v>
      </c>
      <c r="F51" s="5">
        <v>4.07</v>
      </c>
      <c r="G51" s="5">
        <v>14.42</v>
      </c>
      <c r="H51" s="5">
        <v>1.99</v>
      </c>
      <c r="I51" s="4">
        <v>39.44</v>
      </c>
      <c r="J51" s="3">
        <v>60.56</v>
      </c>
      <c r="K51" s="4">
        <v>89302</v>
      </c>
      <c r="L51" s="5">
        <v>2669</v>
      </c>
      <c r="M51" s="3">
        <f t="shared" si="4"/>
        <v>86633</v>
      </c>
      <c r="N51" s="5">
        <f t="shared" si="5"/>
        <v>2.9887348547624912E-2</v>
      </c>
      <c r="O51" s="4">
        <f>ROUND($C51+MIN($D51:$E51)*(1-SUMIFS(PrefFlows!$C:$C,PrefFlows!$A:$A,INDEX($D$1:$E$1,MATCH(MIN($D51:$E51),$D51:$E51,0)),PrefFlows!$B:$B,$B51)),2)</f>
        <v>44.86</v>
      </c>
      <c r="P51" s="5">
        <f>ROUND(MAX($D51:$E51)+MIN($D51:$E51)*SUMIFS(PrefFlows!$C:$C,PrefFlows!$A:$A,INDEX($D$1:$E$1,MATCH(MIN($D51:$E51),$D51:$E51,0)),PrefFlows!$B:$B,$B51),2)</f>
        <v>34.659999999999997</v>
      </c>
      <c r="Q51" s="5">
        <f t="shared" si="26"/>
        <v>4.07</v>
      </c>
      <c r="R51" s="5">
        <f t="shared" si="27"/>
        <v>14.42</v>
      </c>
      <c r="S51" s="3">
        <f t="shared" si="8"/>
        <v>1.99</v>
      </c>
      <c r="T51" s="6">
        <f t="shared" si="9"/>
        <v>-10.199999999999999</v>
      </c>
      <c r="U51" s="4">
        <f>ROUND($Q51*SUMIFS(PrefFlows!$C:$C,PrefFlows!$A:$A,$Q$1,PrefFlows!$B:$B,$B51)+$R51*SUMIFS(PrefFlows!$C:$C,PrefFlows!$A:$A,$R$1,PrefFlows!$B:$B,$B51)+$S51*SUMIFS(PrefFlows!$C:$C,PrefFlows!$A:$A,$S$1,PrefFlows!$B:$B,$B51),2)</f>
        <v>5.31</v>
      </c>
      <c r="V51" s="3">
        <f>ROUND($Q51*(1-SUMIFS(PrefFlows!$C:$C,PrefFlows!$A:$A,$Q$1,PrefFlows!$B:$B,$B51))+$R51*(1-SUMIFS(PrefFlows!$C:$C,PrefFlows!$A:$A,$R$1,PrefFlows!$B:$B,$B51))+$S51*(1-SUMIFS(PrefFlows!$C:$C,PrefFlows!$A:$A,$S$1,PrefFlows!$B:$B,$B51)),2)</f>
        <v>15.17</v>
      </c>
      <c r="W51" s="4">
        <f t="shared" si="10"/>
        <v>4.78</v>
      </c>
      <c r="X51" s="3">
        <f t="shared" si="11"/>
        <v>15.7</v>
      </c>
      <c r="Y51" s="4">
        <f t="shared" si="12"/>
        <v>0.25929999999999997</v>
      </c>
      <c r="Z51" s="5">
        <f t="shared" si="13"/>
        <v>0.2334</v>
      </c>
      <c r="AA51" s="5">
        <f t="shared" si="14"/>
        <v>-2.5899999999999999E-2</v>
      </c>
      <c r="AB51" s="3">
        <v>-3.8688742074264898E-2</v>
      </c>
      <c r="AC51" s="4">
        <f>ROUND(Q51*(1-(Exhaust!$B$2+AB51)),2)</f>
        <v>1.95</v>
      </c>
      <c r="AD51" s="5">
        <f>ROUND(R51*(1-(Exhaust!$B$3+$AB51)),2)</f>
        <v>9.2100000000000009</v>
      </c>
      <c r="AE51" s="3">
        <f>ROUND(S51*(1-(Exhaust!$B$4+$AB51)),2)</f>
        <v>1.07</v>
      </c>
      <c r="AF51" s="4">
        <f>ROUND($AC51*(SUMIFS(PrefFlows!$C:$C,PrefFlows!$A:$A,$Q$1,PrefFlows!$B:$B,$B51)+$AA51)+$AD51*(SUMIFS(PrefFlows!$C:$C,PrefFlows!$A:$A,$R$1,PrefFlows!$B:$B,$B51)+$AA51)+$AE51*(SUMIFS(PrefFlows!$C:$C,PrefFlows!$A:$A,$S$1,PrefFlows!$B:$B,$B51)+$AA51),2)</f>
        <v>2.5299999999999998</v>
      </c>
      <c r="AG51" s="3">
        <f>ROUND($AC51*(1-(SUMIFS(PrefFlows!$C:$C,PrefFlows!$A:$A,$Q$1,PrefFlows!$B:$B,$B51)+$AA51))+$AD51*(1-(SUMIFS(PrefFlows!$C:$C,PrefFlows!$A:$A,$R$1,PrefFlows!$B:$B,$B51)+$AA51))+$AE51*(1-(SUMIFS(PrefFlows!$C:$C,PrefFlows!$A:$A,$S$1,PrefFlows!$B:$B,$B51)+$AA51)),2)</f>
        <v>9.6999999999999993</v>
      </c>
      <c r="AH51" s="4">
        <f t="shared" si="15"/>
        <v>37.19</v>
      </c>
      <c r="AI51" s="3">
        <f t="shared" si="16"/>
        <v>54.56</v>
      </c>
      <c r="AJ51" s="4">
        <f t="shared" si="17"/>
        <v>40.53</v>
      </c>
      <c r="AK51" s="3">
        <f t="shared" si="17"/>
        <v>59.47</v>
      </c>
      <c r="AL51" s="1">
        <f t="shared" si="22"/>
        <v>-10.56</v>
      </c>
      <c r="AM51" s="1">
        <f t="shared" si="23"/>
        <v>-8.8000000000000007</v>
      </c>
      <c r="AN51" s="3">
        <f t="shared" si="24"/>
        <v>-9.4700000000000006</v>
      </c>
      <c r="AO51" s="1" t="b">
        <f t="shared" si="18"/>
        <v>0</v>
      </c>
      <c r="AP51" s="1" t="b">
        <f t="shared" si="18"/>
        <v>0</v>
      </c>
      <c r="AQ51" s="3" t="b">
        <f t="shared" si="19"/>
        <v>0</v>
      </c>
      <c r="AR51" s="1">
        <f t="shared" si="20"/>
        <v>1.7599999999999998</v>
      </c>
      <c r="AS51" s="1">
        <f t="shared" si="20"/>
        <v>1.0899999999999999</v>
      </c>
      <c r="AT51" s="3">
        <f t="shared" si="21"/>
        <v>0.66999999999999993</v>
      </c>
      <c r="AU51" s="1">
        <f>ROUND(IF($B51="NSW",L51*Meta!$B$6,L51),1)</f>
        <v>2669</v>
      </c>
      <c r="AV51" s="3">
        <f t="shared" si="25"/>
        <v>87229.4</v>
      </c>
    </row>
    <row r="52" spans="1:48" x14ac:dyDescent="0.55000000000000004">
      <c r="A52" s="2" t="s">
        <v>57</v>
      </c>
      <c r="B52" s="3" t="s">
        <v>21</v>
      </c>
      <c r="C52" s="4">
        <v>22.22</v>
      </c>
      <c r="D52" s="5">
        <v>50.04</v>
      </c>
      <c r="E52" s="5">
        <v>0</v>
      </c>
      <c r="F52" s="5">
        <v>12.14</v>
      </c>
      <c r="G52" s="5">
        <v>12.41</v>
      </c>
      <c r="H52" s="5">
        <v>3.19</v>
      </c>
      <c r="I52" s="4">
        <v>62.7</v>
      </c>
      <c r="J52" s="3">
        <v>37.299999999999997</v>
      </c>
      <c r="K52" s="4">
        <v>104040</v>
      </c>
      <c r="L52" s="5">
        <v>4992</v>
      </c>
      <c r="M52" s="3">
        <f t="shared" si="4"/>
        <v>99048</v>
      </c>
      <c r="N52" s="5">
        <f t="shared" si="5"/>
        <v>4.7981545559400228E-2</v>
      </c>
      <c r="O52" s="4">
        <f>ROUND($C52+MIN($D52:$E52)*(1-SUMIFS(PrefFlows!$C:$C,PrefFlows!$A:$A,INDEX($D$1:$E$1,MATCH(MIN($D52:$E52),$D52:$E52,0)),PrefFlows!$B:$B,$B52)),2)</f>
        <v>22.22</v>
      </c>
      <c r="P52" s="5">
        <f>ROUND(MAX($D52:$E52)+MIN($D52:$E52)*SUMIFS(PrefFlows!$C:$C,PrefFlows!$A:$A,INDEX($D$1:$E$1,MATCH(MIN($D52:$E52),$D52:$E52,0)),PrefFlows!$B:$B,$B52),2)</f>
        <v>50.04</v>
      </c>
      <c r="Q52" s="5">
        <f t="shared" si="26"/>
        <v>12.14</v>
      </c>
      <c r="R52" s="5">
        <f t="shared" si="27"/>
        <v>12.41</v>
      </c>
      <c r="S52" s="3">
        <f t="shared" si="8"/>
        <v>3.19</v>
      </c>
      <c r="T52" s="6">
        <f t="shared" si="9"/>
        <v>27.82</v>
      </c>
      <c r="U52" s="4">
        <f>ROUND($Q52*SUMIFS(PrefFlows!$C:$C,PrefFlows!$A:$A,$Q$1,PrefFlows!$B:$B,$B52)+$R52*SUMIFS(PrefFlows!$C:$C,PrefFlows!$A:$A,$R$1,PrefFlows!$B:$B,$B52)+$S52*SUMIFS(PrefFlows!$C:$C,PrefFlows!$A:$A,$S$1,PrefFlows!$B:$B,$B52),2)</f>
        <v>12.35</v>
      </c>
      <c r="V52" s="3">
        <f>ROUND($Q52*(1-SUMIFS(PrefFlows!$C:$C,PrefFlows!$A:$A,$Q$1,PrefFlows!$B:$B,$B52))+$R52*(1-SUMIFS(PrefFlows!$C:$C,PrefFlows!$A:$A,$R$1,PrefFlows!$B:$B,$B52))+$S52*(1-SUMIFS(PrefFlows!$C:$C,PrefFlows!$A:$A,$S$1,PrefFlows!$B:$B,$B52)),2)</f>
        <v>15.39</v>
      </c>
      <c r="W52" s="4">
        <f t="shared" si="10"/>
        <v>12.66</v>
      </c>
      <c r="X52" s="3">
        <f t="shared" si="11"/>
        <v>15.08</v>
      </c>
      <c r="Y52" s="4">
        <f t="shared" si="12"/>
        <v>0.44519999999999998</v>
      </c>
      <c r="Z52" s="5">
        <f t="shared" si="13"/>
        <v>0.45639999999999997</v>
      </c>
      <c r="AA52" s="5">
        <f t="shared" si="14"/>
        <v>1.12E-2</v>
      </c>
      <c r="AB52" s="3">
        <v>2.4720860241623899E-2</v>
      </c>
      <c r="AC52" s="4">
        <f>ROUND(Q52*(1-(Exhaust!$B$2+AB52)),2)</f>
        <v>5.04</v>
      </c>
      <c r="AD52" s="5">
        <f>ROUND(R52*(1-(Exhaust!$B$3+$AB52)),2)</f>
        <v>7.14</v>
      </c>
      <c r="AE52" s="3">
        <f>ROUND(S52*(1-(Exhaust!$B$4+$AB52)),2)</f>
        <v>1.52</v>
      </c>
      <c r="AF52" s="4">
        <f>ROUND($AC52*(SUMIFS(PrefFlows!$C:$C,PrefFlows!$A:$A,$Q$1,PrefFlows!$B:$B,$B52)+$AA52)+$AD52*(SUMIFS(PrefFlows!$C:$C,PrefFlows!$A:$A,$R$1,PrefFlows!$B:$B,$B52)+$AA52)+$AE52*(SUMIFS(PrefFlows!$C:$C,PrefFlows!$A:$A,$S$1,PrefFlows!$B:$B,$B52)+$AA52),2)</f>
        <v>5.79</v>
      </c>
      <c r="AG52" s="3">
        <f>ROUND($AC52*(1-(SUMIFS(PrefFlows!$C:$C,PrefFlows!$A:$A,$Q$1,PrefFlows!$B:$B,$B52)+$AA52))+$AD52*(1-(SUMIFS(PrefFlows!$C:$C,PrefFlows!$A:$A,$R$1,PrefFlows!$B:$B,$B52)+$AA52))+$AE52*(1-(SUMIFS(PrefFlows!$C:$C,PrefFlows!$A:$A,$S$1,PrefFlows!$B:$B,$B52)+$AA52)),2)</f>
        <v>7.91</v>
      </c>
      <c r="AH52" s="4">
        <f t="shared" si="15"/>
        <v>55.83</v>
      </c>
      <c r="AI52" s="3">
        <f t="shared" si="16"/>
        <v>30.13</v>
      </c>
      <c r="AJ52" s="4">
        <f t="shared" si="17"/>
        <v>64.95</v>
      </c>
      <c r="AK52" s="3">
        <f t="shared" si="17"/>
        <v>35.049999999999997</v>
      </c>
      <c r="AL52" s="1">
        <f t="shared" si="22"/>
        <v>12.7</v>
      </c>
      <c r="AM52" s="1">
        <f t="shared" si="23"/>
        <v>15.32</v>
      </c>
      <c r="AN52" s="3">
        <f t="shared" si="24"/>
        <v>14.95</v>
      </c>
      <c r="AO52" s="1" t="b">
        <f t="shared" si="18"/>
        <v>0</v>
      </c>
      <c r="AP52" s="1" t="b">
        <f t="shared" si="18"/>
        <v>0</v>
      </c>
      <c r="AQ52" s="3" t="b">
        <f t="shared" si="19"/>
        <v>0</v>
      </c>
      <c r="AR52" s="1">
        <f t="shared" si="20"/>
        <v>2.620000000000001</v>
      </c>
      <c r="AS52" s="1">
        <f t="shared" si="20"/>
        <v>2.25</v>
      </c>
      <c r="AT52" s="3">
        <f t="shared" si="21"/>
        <v>0.37000000000000099</v>
      </c>
      <c r="AU52" s="1">
        <f>ROUND(IF($B52="NSW",L52*Meta!$B$6,L52),1)</f>
        <v>4992</v>
      </c>
      <c r="AV52" s="3">
        <f t="shared" si="25"/>
        <v>100163.5</v>
      </c>
    </row>
    <row r="53" spans="1:48" x14ac:dyDescent="0.55000000000000004">
      <c r="A53" s="2" t="s">
        <v>58</v>
      </c>
      <c r="B53" s="3" t="s">
        <v>9</v>
      </c>
      <c r="C53" s="4">
        <v>24.74</v>
      </c>
      <c r="D53" s="5">
        <v>46.72</v>
      </c>
      <c r="E53" s="5">
        <v>0</v>
      </c>
      <c r="F53" s="5">
        <v>2.52</v>
      </c>
      <c r="G53" s="5">
        <v>6.81</v>
      </c>
      <c r="H53" s="5">
        <v>19.22</v>
      </c>
      <c r="I53" s="4">
        <v>55.64</v>
      </c>
      <c r="J53" s="3">
        <v>44.36</v>
      </c>
      <c r="K53" s="4">
        <v>103076</v>
      </c>
      <c r="L53" s="5">
        <v>6124</v>
      </c>
      <c r="M53" s="3">
        <f t="shared" si="4"/>
        <v>96952</v>
      </c>
      <c r="N53" s="5">
        <f t="shared" si="5"/>
        <v>5.9412472350498659E-2</v>
      </c>
      <c r="O53" s="4">
        <f>ROUND($C53+MIN($D53:$E53)*(1-SUMIFS(PrefFlows!$C:$C,PrefFlows!$A:$A,INDEX($D$1:$E$1,MATCH(MIN($D53:$E53),$D53:$E53,0)),PrefFlows!$B:$B,$B53)),2)</f>
        <v>24.74</v>
      </c>
      <c r="P53" s="5">
        <f>ROUND(MAX($D53:$E53)+MIN($D53:$E53)*SUMIFS(PrefFlows!$C:$C,PrefFlows!$A:$A,INDEX($D$1:$E$1,MATCH(MIN($D53:$E53),$D53:$E53,0)),PrefFlows!$B:$B,$B53),2)</f>
        <v>46.72</v>
      </c>
      <c r="Q53" s="5">
        <f t="shared" si="26"/>
        <v>2.52</v>
      </c>
      <c r="R53" s="5">
        <f t="shared" si="27"/>
        <v>6.81</v>
      </c>
      <c r="S53" s="3">
        <f t="shared" si="8"/>
        <v>19.22</v>
      </c>
      <c r="T53" s="6">
        <f t="shared" si="9"/>
        <v>21.98</v>
      </c>
      <c r="U53" s="4">
        <f>ROUND($Q53*SUMIFS(PrefFlows!$C:$C,PrefFlows!$A:$A,$Q$1,PrefFlows!$B:$B,$B53)+$R53*SUMIFS(PrefFlows!$C:$C,PrefFlows!$A:$A,$R$1,PrefFlows!$B:$B,$B53)+$S53*SUMIFS(PrefFlows!$C:$C,PrefFlows!$A:$A,$S$1,PrefFlows!$B:$B,$B53),2)</f>
        <v>13.08</v>
      </c>
      <c r="V53" s="3">
        <f>ROUND($Q53*(1-SUMIFS(PrefFlows!$C:$C,PrefFlows!$A:$A,$Q$1,PrefFlows!$B:$B,$B53))+$R53*(1-SUMIFS(PrefFlows!$C:$C,PrefFlows!$A:$A,$R$1,PrefFlows!$B:$B,$B53))+$S53*(1-SUMIFS(PrefFlows!$C:$C,PrefFlows!$A:$A,$S$1,PrefFlows!$B:$B,$B53)),2)</f>
        <v>15.47</v>
      </c>
      <c r="W53" s="4">
        <f t="shared" si="10"/>
        <v>8.92</v>
      </c>
      <c r="X53" s="3">
        <f t="shared" si="11"/>
        <v>19.62</v>
      </c>
      <c r="Y53" s="4">
        <f t="shared" si="12"/>
        <v>0.45810000000000001</v>
      </c>
      <c r="Z53" s="5">
        <f t="shared" si="13"/>
        <v>0.3125</v>
      </c>
      <c r="AA53" s="5">
        <f t="shared" si="14"/>
        <v>-0.14560000000000001</v>
      </c>
      <c r="AB53" s="3">
        <v>9.9079904589840107E-3</v>
      </c>
      <c r="AC53" s="4">
        <f>ROUND(Q53*(1-(Exhaust!$B$2+AB53)),2)</f>
        <v>1.08</v>
      </c>
      <c r="AD53" s="5">
        <f>ROUND(R53*(1-(Exhaust!$B$3+$AB53)),2)</f>
        <v>4.0199999999999996</v>
      </c>
      <c r="AE53" s="3">
        <f>ROUND(S53*(1-(Exhaust!$B$4+$AB53)),2)</f>
        <v>9.42</v>
      </c>
      <c r="AF53" s="4">
        <f>ROUND($AC53*(SUMIFS(PrefFlows!$C:$C,PrefFlows!$A:$A,$Q$1,PrefFlows!$B:$B,$B53)+$AA53)+$AD53*(SUMIFS(PrefFlows!$C:$C,PrefFlows!$A:$A,$R$1,PrefFlows!$B:$B,$B53)+$AA53)+$AE53*(SUMIFS(PrefFlows!$C:$C,PrefFlows!$A:$A,$S$1,PrefFlows!$B:$B,$B53)+$AA53),2)</f>
        <v>4.3099999999999996</v>
      </c>
      <c r="AG53" s="3">
        <f>ROUND($AC53*(1-(SUMIFS(PrefFlows!$C:$C,PrefFlows!$A:$A,$Q$1,PrefFlows!$B:$B,$B53)+$AA53))+$AD53*(1-(SUMIFS(PrefFlows!$C:$C,PrefFlows!$A:$A,$R$1,PrefFlows!$B:$B,$B53)+$AA53))+$AE53*(1-(SUMIFS(PrefFlows!$C:$C,PrefFlows!$A:$A,$S$1,PrefFlows!$B:$B,$B53)+$AA53)),2)</f>
        <v>10.210000000000001</v>
      </c>
      <c r="AH53" s="4">
        <f t="shared" si="15"/>
        <v>51.03</v>
      </c>
      <c r="AI53" s="3">
        <f t="shared" si="16"/>
        <v>34.950000000000003</v>
      </c>
      <c r="AJ53" s="4">
        <f t="shared" si="17"/>
        <v>59.35</v>
      </c>
      <c r="AK53" s="3">
        <f t="shared" si="17"/>
        <v>40.65</v>
      </c>
      <c r="AL53" s="1">
        <f t="shared" si="22"/>
        <v>5.64</v>
      </c>
      <c r="AM53" s="1">
        <f t="shared" si="23"/>
        <v>9.51</v>
      </c>
      <c r="AN53" s="3">
        <f t="shared" si="24"/>
        <v>9.35</v>
      </c>
      <c r="AO53" s="1" t="b">
        <f t="shared" si="18"/>
        <v>0</v>
      </c>
      <c r="AP53" s="1" t="b">
        <f t="shared" si="18"/>
        <v>0</v>
      </c>
      <c r="AQ53" s="3" t="b">
        <f t="shared" si="19"/>
        <v>0</v>
      </c>
      <c r="AR53" s="1">
        <f t="shared" si="20"/>
        <v>3.87</v>
      </c>
      <c r="AS53" s="1">
        <f t="shared" si="20"/>
        <v>3.71</v>
      </c>
      <c r="AT53" s="3">
        <f t="shared" si="21"/>
        <v>0.16000000000000014</v>
      </c>
      <c r="AU53" s="1">
        <f>ROUND(IF($B53="NSW",L53*Meta!$B$6,L53),1)</f>
        <v>6124</v>
      </c>
      <c r="AV53" s="3">
        <f t="shared" si="25"/>
        <v>98320.5</v>
      </c>
    </row>
    <row r="54" spans="1:48" x14ac:dyDescent="0.55000000000000004">
      <c r="A54" s="2" t="s">
        <v>188</v>
      </c>
      <c r="B54" s="3" t="s">
        <v>21</v>
      </c>
      <c r="C54" s="4">
        <v>28.65</v>
      </c>
      <c r="D54" s="5">
        <v>37.89</v>
      </c>
      <c r="E54" s="5">
        <v>0</v>
      </c>
      <c r="F54" s="5">
        <v>23.84</v>
      </c>
      <c r="G54" s="5">
        <v>3.07</v>
      </c>
      <c r="H54" s="5">
        <v>6.55</v>
      </c>
      <c r="I54" s="4">
        <v>58.66</v>
      </c>
      <c r="J54" s="3">
        <v>41.34</v>
      </c>
      <c r="K54" s="4">
        <v>94974</v>
      </c>
      <c r="L54" s="5">
        <v>5517</v>
      </c>
      <c r="M54" s="3">
        <f t="shared" si="4"/>
        <v>89457</v>
      </c>
      <c r="N54" s="5">
        <f t="shared" si="5"/>
        <v>5.8089582412028558E-2</v>
      </c>
      <c r="O54" s="4">
        <f>ROUND($C54+MIN($D54:$E54)*(1-SUMIFS(PrefFlows!$C:$C,PrefFlows!$A:$A,INDEX($D$1:$E$1,MATCH(MIN($D54:$E54),$D54:$E54,0)),PrefFlows!$B:$B,$B54)),2)</f>
        <v>28.65</v>
      </c>
      <c r="P54" s="5">
        <f>ROUND(MAX($D54:$E54)+MIN($D54:$E54)*SUMIFS(PrefFlows!$C:$C,PrefFlows!$A:$A,INDEX($D$1:$E$1,MATCH(MIN($D54:$E54),$D54:$E54,0)),PrefFlows!$B:$B,$B54),2)</f>
        <v>37.89</v>
      </c>
      <c r="Q54" s="5">
        <f t="shared" si="26"/>
        <v>23.84</v>
      </c>
      <c r="R54" s="5">
        <f t="shared" si="27"/>
        <v>3.07</v>
      </c>
      <c r="S54" s="3">
        <f t="shared" si="8"/>
        <v>6.55</v>
      </c>
      <c r="T54" s="6">
        <f t="shared" si="9"/>
        <v>9.24</v>
      </c>
      <c r="U54" s="4">
        <f>ROUND($Q54*SUMIFS(PrefFlows!$C:$C,PrefFlows!$A:$A,$Q$1,PrefFlows!$B:$B,$B54)+$R54*SUMIFS(PrefFlows!$C:$C,PrefFlows!$A:$A,$R$1,PrefFlows!$B:$B,$B54)+$S54*SUMIFS(PrefFlows!$C:$C,PrefFlows!$A:$A,$S$1,PrefFlows!$B:$B,$B54),2)</f>
        <v>20.05</v>
      </c>
      <c r="V54" s="3">
        <f>ROUND($Q54*(1-SUMIFS(PrefFlows!$C:$C,PrefFlows!$A:$A,$Q$1,PrefFlows!$B:$B,$B54))+$R54*(1-SUMIFS(PrefFlows!$C:$C,PrefFlows!$A:$A,$R$1,PrefFlows!$B:$B,$B54))+$S54*(1-SUMIFS(PrefFlows!$C:$C,PrefFlows!$A:$A,$S$1,PrefFlows!$B:$B,$B54)),2)</f>
        <v>13.41</v>
      </c>
      <c r="W54" s="4">
        <f t="shared" si="10"/>
        <v>20.77</v>
      </c>
      <c r="X54" s="3">
        <f t="shared" si="11"/>
        <v>12.69</v>
      </c>
      <c r="Y54" s="4">
        <f t="shared" si="12"/>
        <v>0.59919999999999995</v>
      </c>
      <c r="Z54" s="5">
        <f t="shared" si="13"/>
        <v>0.62070000000000003</v>
      </c>
      <c r="AA54" s="5">
        <f t="shared" si="14"/>
        <v>2.1499999999999998E-2</v>
      </c>
      <c r="AB54" s="3">
        <v>8.0767728662391694E-2</v>
      </c>
      <c r="AC54" s="4">
        <f>ROUND(Q54*(1-(Exhaust!$B$2+AB54)),2)</f>
        <v>8.56</v>
      </c>
      <c r="AD54" s="5">
        <f>ROUND(R54*(1-(Exhaust!$B$3+$AB54)),2)</f>
        <v>1.59</v>
      </c>
      <c r="AE54" s="3">
        <f>ROUND(S54*(1-(Exhaust!$B$4+$AB54)),2)</f>
        <v>2.75</v>
      </c>
      <c r="AF54" s="4">
        <f>ROUND($AC54*(SUMIFS(PrefFlows!$C:$C,PrefFlows!$A:$A,$Q$1,PrefFlows!$B:$B,$B54)+$AA54)+$AD54*(SUMIFS(PrefFlows!$C:$C,PrefFlows!$A:$A,$R$1,PrefFlows!$B:$B,$B54)+$AA54)+$AE54*(SUMIFS(PrefFlows!$C:$C,PrefFlows!$A:$A,$S$1,PrefFlows!$B:$B,$B54)+$AA54),2)</f>
        <v>7.78</v>
      </c>
      <c r="AG54" s="3">
        <f>ROUND($AC54*(1-(SUMIFS(PrefFlows!$C:$C,PrefFlows!$A:$A,$Q$1,PrefFlows!$B:$B,$B54)+$AA54))+$AD54*(1-(SUMIFS(PrefFlows!$C:$C,PrefFlows!$A:$A,$R$1,PrefFlows!$B:$B,$B54)+$AA54))+$AE54*(1-(SUMIFS(PrefFlows!$C:$C,PrefFlows!$A:$A,$S$1,PrefFlows!$B:$B,$B54)+$AA54)),2)</f>
        <v>5.12</v>
      </c>
      <c r="AH54" s="4">
        <f t="shared" si="15"/>
        <v>45.67</v>
      </c>
      <c r="AI54" s="3">
        <f t="shared" si="16"/>
        <v>33.770000000000003</v>
      </c>
      <c r="AJ54" s="4">
        <f t="shared" si="17"/>
        <v>57.49</v>
      </c>
      <c r="AK54" s="3">
        <f t="shared" si="17"/>
        <v>42.51</v>
      </c>
      <c r="AL54" s="1">
        <f t="shared" si="22"/>
        <v>8.66</v>
      </c>
      <c r="AM54" s="1">
        <f t="shared" si="23"/>
        <v>8.01</v>
      </c>
      <c r="AN54" s="3">
        <f t="shared" si="24"/>
        <v>7.49</v>
      </c>
      <c r="AO54" s="1" t="b">
        <f t="shared" si="18"/>
        <v>0</v>
      </c>
      <c r="AP54" s="1" t="b">
        <f t="shared" si="18"/>
        <v>0</v>
      </c>
      <c r="AQ54" s="3" t="b">
        <f t="shared" si="19"/>
        <v>0</v>
      </c>
      <c r="AR54" s="1">
        <f t="shared" si="20"/>
        <v>-0.65000000000000036</v>
      </c>
      <c r="AS54" s="1">
        <f t="shared" si="20"/>
        <v>-1.17</v>
      </c>
      <c r="AT54" s="3">
        <f t="shared" si="21"/>
        <v>0.51999999999999957</v>
      </c>
      <c r="AU54" s="1">
        <f>ROUND(IF($B54="NSW",L54*Meta!$B$6,L54),1)</f>
        <v>5517</v>
      </c>
      <c r="AV54" s="3">
        <f t="shared" si="25"/>
        <v>90689.9</v>
      </c>
    </row>
    <row r="55" spans="1:48" x14ac:dyDescent="0.55000000000000004">
      <c r="A55" s="2" t="s">
        <v>59</v>
      </c>
      <c r="B55" s="3" t="s">
        <v>21</v>
      </c>
      <c r="C55" s="4">
        <v>29.51</v>
      </c>
      <c r="D55" s="5">
        <v>43.5</v>
      </c>
      <c r="E55" s="5">
        <v>0</v>
      </c>
      <c r="F55" s="5">
        <v>15.84</v>
      </c>
      <c r="G55" s="5">
        <v>8.73</v>
      </c>
      <c r="H55" s="5">
        <v>2.42</v>
      </c>
      <c r="I55" s="4">
        <v>58.6</v>
      </c>
      <c r="J55" s="3">
        <v>41.4</v>
      </c>
      <c r="K55" s="4">
        <v>95983</v>
      </c>
      <c r="L55" s="5">
        <v>4449</v>
      </c>
      <c r="M55" s="3">
        <f t="shared" si="4"/>
        <v>91534</v>
      </c>
      <c r="N55" s="5">
        <f t="shared" si="5"/>
        <v>4.635195815925737E-2</v>
      </c>
      <c r="O55" s="4">
        <f>ROUND($C55+MIN($D55:$E55)*(1-SUMIFS(PrefFlows!$C:$C,PrefFlows!$A:$A,INDEX($D$1:$E$1,MATCH(MIN($D55:$E55),$D55:$E55,0)),PrefFlows!$B:$B,$B55)),2)</f>
        <v>29.51</v>
      </c>
      <c r="P55" s="5">
        <f>ROUND(MAX($D55:$E55)+MIN($D55:$E55)*SUMIFS(PrefFlows!$C:$C,PrefFlows!$A:$A,INDEX($D$1:$E$1,MATCH(MIN($D55:$E55),$D55:$E55,0)),PrefFlows!$B:$B,$B55),2)</f>
        <v>43.5</v>
      </c>
      <c r="Q55" s="5">
        <f t="shared" si="26"/>
        <v>15.84</v>
      </c>
      <c r="R55" s="5">
        <f t="shared" si="27"/>
        <v>8.73</v>
      </c>
      <c r="S55" s="3">
        <f t="shared" si="8"/>
        <v>2.42</v>
      </c>
      <c r="T55" s="6">
        <f t="shared" si="9"/>
        <v>13.99</v>
      </c>
      <c r="U55" s="4">
        <f>ROUND($Q55*SUMIFS(PrefFlows!$C:$C,PrefFlows!$A:$A,$Q$1,PrefFlows!$B:$B,$B55)+$R55*SUMIFS(PrefFlows!$C:$C,PrefFlows!$A:$A,$R$1,PrefFlows!$B:$B,$B55)+$S55*SUMIFS(PrefFlows!$C:$C,PrefFlows!$A:$A,$S$1,PrefFlows!$B:$B,$B55),2)</f>
        <v>13.71</v>
      </c>
      <c r="V55" s="3">
        <f>ROUND($Q55*(1-SUMIFS(PrefFlows!$C:$C,PrefFlows!$A:$A,$Q$1,PrefFlows!$B:$B,$B55))+$R55*(1-SUMIFS(PrefFlows!$C:$C,PrefFlows!$A:$A,$R$1,PrefFlows!$B:$B,$B55))+$S55*(1-SUMIFS(PrefFlows!$C:$C,PrefFlows!$A:$A,$S$1,PrefFlows!$B:$B,$B55)),2)</f>
        <v>13.28</v>
      </c>
      <c r="W55" s="4">
        <f t="shared" si="10"/>
        <v>15.1</v>
      </c>
      <c r="X55" s="3">
        <f t="shared" si="11"/>
        <v>11.89</v>
      </c>
      <c r="Y55" s="4">
        <f t="shared" si="12"/>
        <v>0.50800000000000001</v>
      </c>
      <c r="Z55" s="5">
        <f t="shared" si="13"/>
        <v>0.5595</v>
      </c>
      <c r="AA55" s="5">
        <f t="shared" si="14"/>
        <v>5.1499999999999997E-2</v>
      </c>
      <c r="AB55" s="3">
        <v>5.5870836070668402E-2</v>
      </c>
      <c r="AC55" s="4">
        <f>ROUND(Q55*(1-(Exhaust!$B$2+AB55)),2)</f>
        <v>6.08</v>
      </c>
      <c r="AD55" s="5">
        <f>ROUND(R55*(1-(Exhaust!$B$3+$AB55)),2)</f>
        <v>4.75</v>
      </c>
      <c r="AE55" s="3">
        <f>ROUND(S55*(1-(Exhaust!$B$4+$AB55)),2)</f>
        <v>1.07</v>
      </c>
      <c r="AF55" s="4">
        <f>ROUND($AC55*(SUMIFS(PrefFlows!$C:$C,PrefFlows!$A:$A,$Q$1,PrefFlows!$B:$B,$B55)+$AA55)+$AD55*(SUMIFS(PrefFlows!$C:$C,PrefFlows!$A:$A,$R$1,PrefFlows!$B:$B,$B55)+$AA55)+$AE55*(SUMIFS(PrefFlows!$C:$C,PrefFlows!$A:$A,$S$1,PrefFlows!$B:$B,$B55)+$AA55),2)</f>
        <v>6.23</v>
      </c>
      <c r="AG55" s="3">
        <f>ROUND($AC55*(1-(SUMIFS(PrefFlows!$C:$C,PrefFlows!$A:$A,$Q$1,PrefFlows!$B:$B,$B55)+$AA55))+$AD55*(1-(SUMIFS(PrefFlows!$C:$C,PrefFlows!$A:$A,$R$1,PrefFlows!$B:$B,$B55)+$AA55))+$AE55*(1-(SUMIFS(PrefFlows!$C:$C,PrefFlows!$A:$A,$S$1,PrefFlows!$B:$B,$B55)+$AA55)),2)</f>
        <v>5.67</v>
      </c>
      <c r="AH55" s="4">
        <f t="shared" si="15"/>
        <v>49.73</v>
      </c>
      <c r="AI55" s="3">
        <f t="shared" si="16"/>
        <v>35.18</v>
      </c>
      <c r="AJ55" s="4">
        <f t="shared" si="17"/>
        <v>58.57</v>
      </c>
      <c r="AK55" s="3">
        <f t="shared" si="17"/>
        <v>41.43</v>
      </c>
      <c r="AL55" s="1">
        <f t="shared" si="22"/>
        <v>8.6</v>
      </c>
      <c r="AM55" s="1">
        <f t="shared" si="23"/>
        <v>8.99</v>
      </c>
      <c r="AN55" s="3">
        <f t="shared" si="24"/>
        <v>8.57</v>
      </c>
      <c r="AO55" s="1" t="b">
        <f t="shared" si="18"/>
        <v>0</v>
      </c>
      <c r="AP55" s="1" t="b">
        <f t="shared" si="18"/>
        <v>0</v>
      </c>
      <c r="AQ55" s="3" t="b">
        <f t="shared" si="19"/>
        <v>0</v>
      </c>
      <c r="AR55" s="1">
        <f t="shared" si="20"/>
        <v>0.39000000000000057</v>
      </c>
      <c r="AS55" s="1">
        <f t="shared" si="20"/>
        <v>-2.9999999999999361E-2</v>
      </c>
      <c r="AT55" s="3">
        <f t="shared" si="21"/>
        <v>0.41999999999999993</v>
      </c>
      <c r="AU55" s="1">
        <f>ROUND(IF($B55="NSW",L55*Meta!$B$6,L55),1)</f>
        <v>4449</v>
      </c>
      <c r="AV55" s="3">
        <f t="shared" si="25"/>
        <v>92528.2</v>
      </c>
    </row>
    <row r="56" spans="1:48" x14ac:dyDescent="0.55000000000000004">
      <c r="A56" s="2" t="s">
        <v>60</v>
      </c>
      <c r="B56" s="3" t="s">
        <v>29</v>
      </c>
      <c r="C56" s="4">
        <v>21.14</v>
      </c>
      <c r="D56" s="5">
        <v>52.48</v>
      </c>
      <c r="E56" s="5">
        <v>0</v>
      </c>
      <c r="F56" s="5">
        <v>7.67</v>
      </c>
      <c r="G56" s="5">
        <v>12.87</v>
      </c>
      <c r="H56" s="5">
        <v>5.84</v>
      </c>
      <c r="I56" s="4">
        <v>64.56</v>
      </c>
      <c r="J56" s="3">
        <v>35.44</v>
      </c>
      <c r="K56" s="4">
        <v>95880</v>
      </c>
      <c r="L56" s="5">
        <v>5418</v>
      </c>
      <c r="M56" s="3">
        <f t="shared" si="4"/>
        <v>90462</v>
      </c>
      <c r="N56" s="5">
        <f t="shared" si="5"/>
        <v>5.65081351689612E-2</v>
      </c>
      <c r="O56" s="4">
        <f>ROUND($C56+MIN($D56:$E56)*(1-SUMIFS(PrefFlows!$C:$C,PrefFlows!$A:$A,INDEX($D$1:$E$1,MATCH(MIN($D56:$E56),$D56:$E56,0)),PrefFlows!$B:$B,$B56)),2)</f>
        <v>21.14</v>
      </c>
      <c r="P56" s="5">
        <f>ROUND(MAX($D56:$E56)+MIN($D56:$E56)*SUMIFS(PrefFlows!$C:$C,PrefFlows!$A:$A,INDEX($D$1:$E$1,MATCH(MIN($D56:$E56),$D56:$E56,0)),PrefFlows!$B:$B,$B56),2)</f>
        <v>52.48</v>
      </c>
      <c r="Q56" s="5">
        <f t="shared" si="26"/>
        <v>7.67</v>
      </c>
      <c r="R56" s="5">
        <f t="shared" si="27"/>
        <v>12.87</v>
      </c>
      <c r="S56" s="3">
        <f t="shared" si="8"/>
        <v>5.84</v>
      </c>
      <c r="T56" s="6">
        <f t="shared" si="9"/>
        <v>31.34</v>
      </c>
      <c r="U56" s="4">
        <f>ROUND($Q56*SUMIFS(PrefFlows!$C:$C,PrefFlows!$A:$A,$Q$1,PrefFlows!$B:$B,$B56)+$R56*SUMIFS(PrefFlows!$C:$C,PrefFlows!$A:$A,$R$1,PrefFlows!$B:$B,$B56)+$S56*SUMIFS(PrefFlows!$C:$C,PrefFlows!$A:$A,$S$1,PrefFlows!$B:$B,$B56),2)</f>
        <v>10.54</v>
      </c>
      <c r="V56" s="3">
        <f>ROUND($Q56*(1-SUMIFS(PrefFlows!$C:$C,PrefFlows!$A:$A,$Q$1,PrefFlows!$B:$B,$B56))+$R56*(1-SUMIFS(PrefFlows!$C:$C,PrefFlows!$A:$A,$R$1,PrefFlows!$B:$B,$B56))+$S56*(1-SUMIFS(PrefFlows!$C:$C,PrefFlows!$A:$A,$S$1,PrefFlows!$B:$B,$B56)),2)</f>
        <v>15.84</v>
      </c>
      <c r="W56" s="4">
        <f t="shared" si="10"/>
        <v>12.08</v>
      </c>
      <c r="X56" s="3">
        <f t="shared" si="11"/>
        <v>14.3</v>
      </c>
      <c r="Y56" s="4">
        <f t="shared" si="12"/>
        <v>0.39950000000000002</v>
      </c>
      <c r="Z56" s="5">
        <f t="shared" si="13"/>
        <v>0.45789999999999997</v>
      </c>
      <c r="AA56" s="5">
        <f t="shared" si="14"/>
        <v>5.8400000000000001E-2</v>
      </c>
      <c r="AB56" s="3">
        <v>3.9091040050686497E-2</v>
      </c>
      <c r="AC56" s="4">
        <f>ROUND(Q56*(1-(Exhaust!$B$2+AB56)),2)</f>
        <v>3.07</v>
      </c>
      <c r="AD56" s="5">
        <f>ROUND(R56*(1-(Exhaust!$B$3+$AB56)),2)</f>
        <v>7.22</v>
      </c>
      <c r="AE56" s="3">
        <f>ROUND(S56*(1-(Exhaust!$B$4+$AB56)),2)</f>
        <v>2.69</v>
      </c>
      <c r="AF56" s="4">
        <f>ROUND($AC56*(SUMIFS(PrefFlows!$C:$C,PrefFlows!$A:$A,$Q$1,PrefFlows!$B:$B,$B56)+$AA56)+$AD56*(SUMIFS(PrefFlows!$C:$C,PrefFlows!$A:$A,$R$1,PrefFlows!$B:$B,$B56)+$AA56)+$AE56*(SUMIFS(PrefFlows!$C:$C,PrefFlows!$A:$A,$S$1,PrefFlows!$B:$B,$B56)+$AA56),2)</f>
        <v>5.58</v>
      </c>
      <c r="AG56" s="3">
        <f>ROUND($AC56*(1-(SUMIFS(PrefFlows!$C:$C,PrefFlows!$A:$A,$Q$1,PrefFlows!$B:$B,$B56)+$AA56))+$AD56*(1-(SUMIFS(PrefFlows!$C:$C,PrefFlows!$A:$A,$R$1,PrefFlows!$B:$B,$B56)+$AA56))+$AE56*(1-(SUMIFS(PrefFlows!$C:$C,PrefFlows!$A:$A,$S$1,PrefFlows!$B:$B,$B56)+$AA56)),2)</f>
        <v>7.4</v>
      </c>
      <c r="AH56" s="4">
        <f t="shared" si="15"/>
        <v>58.06</v>
      </c>
      <c r="AI56" s="3">
        <f t="shared" si="16"/>
        <v>28.54</v>
      </c>
      <c r="AJ56" s="4">
        <f t="shared" si="17"/>
        <v>67.040000000000006</v>
      </c>
      <c r="AK56" s="3">
        <f t="shared" si="17"/>
        <v>32.96</v>
      </c>
      <c r="AL56" s="1">
        <f t="shared" si="22"/>
        <v>14.56</v>
      </c>
      <c r="AM56" s="1">
        <f t="shared" si="23"/>
        <v>17.28</v>
      </c>
      <c r="AN56" s="3">
        <f t="shared" si="24"/>
        <v>17.04</v>
      </c>
      <c r="AO56" s="1" t="b">
        <f t="shared" si="18"/>
        <v>0</v>
      </c>
      <c r="AP56" s="1" t="b">
        <f t="shared" si="18"/>
        <v>0</v>
      </c>
      <c r="AQ56" s="3" t="b">
        <f t="shared" si="19"/>
        <v>0</v>
      </c>
      <c r="AR56" s="1">
        <f t="shared" si="20"/>
        <v>2.7200000000000006</v>
      </c>
      <c r="AS56" s="1">
        <f t="shared" si="20"/>
        <v>2.4799999999999986</v>
      </c>
      <c r="AT56" s="3">
        <f t="shared" si="21"/>
        <v>0.24000000000000199</v>
      </c>
      <c r="AU56" s="1">
        <f>ROUND(IF($B56="NSW",L56*Meta!$B$6,L56),1)</f>
        <v>5418</v>
      </c>
      <c r="AV56" s="3">
        <f t="shared" si="25"/>
        <v>91672.7</v>
      </c>
    </row>
    <row r="57" spans="1:48" x14ac:dyDescent="0.55000000000000004">
      <c r="A57" s="2" t="s">
        <v>61</v>
      </c>
      <c r="B57" s="3" t="s">
        <v>12</v>
      </c>
      <c r="C57" s="4">
        <v>54.54</v>
      </c>
      <c r="D57" s="5">
        <v>30.05</v>
      </c>
      <c r="E57" s="5">
        <v>0</v>
      </c>
      <c r="F57" s="5">
        <v>4.33</v>
      </c>
      <c r="G57" s="5">
        <v>5.54</v>
      </c>
      <c r="H57" s="5">
        <v>5.55</v>
      </c>
      <c r="I57" s="4">
        <v>36.01</v>
      </c>
      <c r="J57" s="3">
        <v>63.99</v>
      </c>
      <c r="K57" s="4">
        <v>96288</v>
      </c>
      <c r="L57" s="5">
        <v>12624</v>
      </c>
      <c r="M57" s="3">
        <f t="shared" si="4"/>
        <v>83664</v>
      </c>
      <c r="N57" s="5">
        <f t="shared" si="5"/>
        <v>0.13110667996011965</v>
      </c>
      <c r="O57" s="4">
        <f>ROUND($C57+MIN($D57:$E57)*(1-SUMIFS(PrefFlows!$C:$C,PrefFlows!$A:$A,INDEX($D$1:$E$1,MATCH(MIN($D57:$E57),$D57:$E57,0)),PrefFlows!$B:$B,$B57)),2)</f>
        <v>54.54</v>
      </c>
      <c r="P57" s="5">
        <f>ROUND(MAX($D57:$E57)+MIN($D57:$E57)*SUMIFS(PrefFlows!$C:$C,PrefFlows!$A:$A,INDEX($D$1:$E$1,MATCH(MIN($D57:$E57),$D57:$E57,0)),PrefFlows!$B:$B,$B57),2)</f>
        <v>30.05</v>
      </c>
      <c r="Q57" s="5">
        <f t="shared" si="26"/>
        <v>4.33</v>
      </c>
      <c r="R57" s="5">
        <f t="shared" si="27"/>
        <v>5.54</v>
      </c>
      <c r="S57" s="3">
        <f t="shared" si="8"/>
        <v>5.55</v>
      </c>
      <c r="T57" s="6">
        <f t="shared" si="9"/>
        <v>-24.49</v>
      </c>
      <c r="U57" s="4">
        <f>ROUND($Q57*SUMIFS(PrefFlows!$C:$C,PrefFlows!$A:$A,$Q$1,PrefFlows!$B:$B,$B57)+$R57*SUMIFS(PrefFlows!$C:$C,PrefFlows!$A:$A,$R$1,PrefFlows!$B:$B,$B57)+$S57*SUMIFS(PrefFlows!$C:$C,PrefFlows!$A:$A,$S$1,PrefFlows!$B:$B,$B57),2)</f>
        <v>6.67</v>
      </c>
      <c r="V57" s="3">
        <f>ROUND($Q57*(1-SUMIFS(PrefFlows!$C:$C,PrefFlows!$A:$A,$Q$1,PrefFlows!$B:$B,$B57))+$R57*(1-SUMIFS(PrefFlows!$C:$C,PrefFlows!$A:$A,$R$1,PrefFlows!$B:$B,$B57))+$S57*(1-SUMIFS(PrefFlows!$C:$C,PrefFlows!$A:$A,$S$1,PrefFlows!$B:$B,$B57)),2)</f>
        <v>8.75</v>
      </c>
      <c r="W57" s="4">
        <f t="shared" si="10"/>
        <v>5.96</v>
      </c>
      <c r="X57" s="3">
        <f t="shared" si="11"/>
        <v>9.4499999999999993</v>
      </c>
      <c r="Y57" s="4">
        <f t="shared" si="12"/>
        <v>0.43259999999999998</v>
      </c>
      <c r="Z57" s="5">
        <f t="shared" si="13"/>
        <v>0.38679999999999998</v>
      </c>
      <c r="AA57" s="5">
        <f t="shared" si="14"/>
        <v>-4.58E-2</v>
      </c>
      <c r="AB57" s="3">
        <v>6.6505189891715805E-2</v>
      </c>
      <c r="AC57" s="4">
        <f>ROUND(Q57*(1-(Exhaust!$B$2+AB57)),2)</f>
        <v>1.62</v>
      </c>
      <c r="AD57" s="5">
        <f>ROUND(R57*(1-(Exhaust!$B$3+$AB57)),2)</f>
        <v>2.96</v>
      </c>
      <c r="AE57" s="3">
        <f>ROUND(S57*(1-(Exhaust!$B$4+$AB57)),2)</f>
        <v>2.41</v>
      </c>
      <c r="AF57" s="4">
        <f>ROUND($AC57*(SUMIFS(PrefFlows!$C:$C,PrefFlows!$A:$A,$Q$1,PrefFlows!$B:$B,$B57)+$AA57)+$AD57*(SUMIFS(PrefFlows!$C:$C,PrefFlows!$A:$A,$R$1,PrefFlows!$B:$B,$B57)+$AA57)+$AE57*(SUMIFS(PrefFlows!$C:$C,PrefFlows!$A:$A,$S$1,PrefFlows!$B:$B,$B57)+$AA57),2)</f>
        <v>2.5099999999999998</v>
      </c>
      <c r="AG57" s="3">
        <f>ROUND($AC57*(1-(SUMIFS(PrefFlows!$C:$C,PrefFlows!$A:$A,$Q$1,PrefFlows!$B:$B,$B57)+$AA57))+$AD57*(1-(SUMIFS(PrefFlows!$C:$C,PrefFlows!$A:$A,$R$1,PrefFlows!$B:$B,$B57)+$AA57))+$AE57*(1-(SUMIFS(PrefFlows!$C:$C,PrefFlows!$A:$A,$S$1,PrefFlows!$B:$B,$B57)+$AA57)),2)</f>
        <v>4.4800000000000004</v>
      </c>
      <c r="AH57" s="4">
        <f t="shared" si="15"/>
        <v>32.56</v>
      </c>
      <c r="AI57" s="3">
        <f t="shared" si="16"/>
        <v>59.02</v>
      </c>
      <c r="AJ57" s="4">
        <f t="shared" si="17"/>
        <v>35.549999999999997</v>
      </c>
      <c r="AK57" s="3">
        <f t="shared" si="17"/>
        <v>64.45</v>
      </c>
      <c r="AL57" s="1">
        <f t="shared" si="22"/>
        <v>-13.99</v>
      </c>
      <c r="AM57" s="1">
        <f t="shared" si="23"/>
        <v>-14.2</v>
      </c>
      <c r="AN57" s="3">
        <f t="shared" si="24"/>
        <v>-14.45</v>
      </c>
      <c r="AO57" s="1" t="b">
        <f t="shared" si="18"/>
        <v>0</v>
      </c>
      <c r="AP57" s="1" t="b">
        <f t="shared" si="18"/>
        <v>0</v>
      </c>
      <c r="AQ57" s="3" t="b">
        <f t="shared" si="19"/>
        <v>0</v>
      </c>
      <c r="AR57" s="1">
        <f t="shared" si="20"/>
        <v>-0.20999999999999908</v>
      </c>
      <c r="AS57" s="1">
        <f t="shared" si="20"/>
        <v>-0.45999999999999908</v>
      </c>
      <c r="AT57" s="3">
        <f t="shared" si="21"/>
        <v>0.25</v>
      </c>
      <c r="AU57" s="1">
        <f>ROUND(IF($B57="NSW",L57*Meta!$B$6,L57),1)</f>
        <v>8395</v>
      </c>
      <c r="AV57" s="3">
        <f t="shared" si="25"/>
        <v>89769</v>
      </c>
    </row>
    <row r="58" spans="1:48" x14ac:dyDescent="0.55000000000000004">
      <c r="A58" s="2" t="s">
        <v>62</v>
      </c>
      <c r="B58" s="3" t="s">
        <v>16</v>
      </c>
      <c r="C58" s="4">
        <v>43.99</v>
      </c>
      <c r="D58" s="5">
        <v>31.27</v>
      </c>
      <c r="E58" s="5">
        <v>0</v>
      </c>
      <c r="F58" s="5">
        <v>6.7</v>
      </c>
      <c r="G58" s="5">
        <v>16.25</v>
      </c>
      <c r="H58" s="5">
        <v>1.79</v>
      </c>
      <c r="I58" s="4">
        <v>37.79</v>
      </c>
      <c r="J58" s="3">
        <v>62.21</v>
      </c>
      <c r="K58" s="4">
        <v>72545</v>
      </c>
      <c r="L58" s="5">
        <v>2284</v>
      </c>
      <c r="M58" s="3">
        <f t="shared" si="4"/>
        <v>70261</v>
      </c>
      <c r="N58" s="5">
        <f t="shared" si="5"/>
        <v>3.1483906540767798E-2</v>
      </c>
      <c r="O58" s="4">
        <f>ROUND($C58+MIN($D58:$E58)*(1-SUMIFS(PrefFlows!$C:$C,PrefFlows!$A:$A,INDEX($D$1:$E$1,MATCH(MIN($D58:$E58),$D58:$E58,0)),PrefFlows!$B:$B,$B58)),2)</f>
        <v>43.99</v>
      </c>
      <c r="P58" s="5">
        <f>ROUND(MAX($D58:$E58)+MIN($D58:$E58)*SUMIFS(PrefFlows!$C:$C,PrefFlows!$A:$A,INDEX($D$1:$E$1,MATCH(MIN($D58:$E58),$D58:$E58,0)),PrefFlows!$B:$B,$B58),2)</f>
        <v>31.27</v>
      </c>
      <c r="Q58" s="5">
        <f t="shared" si="26"/>
        <v>6.7</v>
      </c>
      <c r="R58" s="5">
        <f t="shared" si="27"/>
        <v>16.25</v>
      </c>
      <c r="S58" s="3">
        <f t="shared" si="8"/>
        <v>1.79</v>
      </c>
      <c r="T58" s="6">
        <f t="shared" si="9"/>
        <v>-12.72</v>
      </c>
      <c r="U58" s="4">
        <f>ROUND($Q58*SUMIFS(PrefFlows!$C:$C,PrefFlows!$A:$A,$Q$1,PrefFlows!$B:$B,$B58)+$R58*SUMIFS(PrefFlows!$C:$C,PrefFlows!$A:$A,$R$1,PrefFlows!$B:$B,$B58)+$S58*SUMIFS(PrefFlows!$C:$C,PrefFlows!$A:$A,$S$1,PrefFlows!$B:$B,$B58),2)</f>
        <v>6.63</v>
      </c>
      <c r="V58" s="3">
        <f>ROUND($Q58*(1-SUMIFS(PrefFlows!$C:$C,PrefFlows!$A:$A,$Q$1,PrefFlows!$B:$B,$B58))+$R58*(1-SUMIFS(PrefFlows!$C:$C,PrefFlows!$A:$A,$R$1,PrefFlows!$B:$B,$B58))+$S58*(1-SUMIFS(PrefFlows!$C:$C,PrefFlows!$A:$A,$S$1,PrefFlows!$B:$B,$B58)),2)</f>
        <v>18.11</v>
      </c>
      <c r="W58" s="4">
        <f t="shared" si="10"/>
        <v>6.52</v>
      </c>
      <c r="X58" s="3">
        <f t="shared" si="11"/>
        <v>18.22</v>
      </c>
      <c r="Y58" s="4">
        <f t="shared" si="12"/>
        <v>0.26800000000000002</v>
      </c>
      <c r="Z58" s="5">
        <f t="shared" si="13"/>
        <v>0.26350000000000001</v>
      </c>
      <c r="AA58" s="5">
        <f t="shared" si="14"/>
        <v>-4.4999999999999997E-3</v>
      </c>
      <c r="AB58" s="3">
        <v>-9.3306651885942896E-3</v>
      </c>
      <c r="AC58" s="4">
        <f>ROUND(Q58*(1-(Exhaust!$B$2+AB58)),2)</f>
        <v>3.01</v>
      </c>
      <c r="AD58" s="5">
        <f>ROUND(R58*(1-(Exhaust!$B$3+$AB58)),2)</f>
        <v>9.9</v>
      </c>
      <c r="AE58" s="3">
        <f>ROUND(S58*(1-(Exhaust!$B$4+$AB58)),2)</f>
        <v>0.91</v>
      </c>
      <c r="AF58" s="4">
        <f>ROUND($AC58*(SUMIFS(PrefFlows!$C:$C,PrefFlows!$A:$A,$Q$1,PrefFlows!$B:$B,$B58)+$AA58)+$AD58*(SUMIFS(PrefFlows!$C:$C,PrefFlows!$A:$A,$R$1,PrefFlows!$B:$B,$B58)+$AA58)+$AE58*(SUMIFS(PrefFlows!$C:$C,PrefFlows!$A:$A,$S$1,PrefFlows!$B:$B,$B58)+$AA58),2)</f>
        <v>3.28</v>
      </c>
      <c r="AG58" s="3">
        <f>ROUND($AC58*(1-(SUMIFS(PrefFlows!$C:$C,PrefFlows!$A:$A,$Q$1,PrefFlows!$B:$B,$B58)+$AA58))+$AD58*(1-(SUMIFS(PrefFlows!$C:$C,PrefFlows!$A:$A,$R$1,PrefFlows!$B:$B,$B58)+$AA58))+$AE58*(1-(SUMIFS(PrefFlows!$C:$C,PrefFlows!$A:$A,$S$1,PrefFlows!$B:$B,$B58)+$AA58)),2)</f>
        <v>10.54</v>
      </c>
      <c r="AH58" s="4">
        <f t="shared" si="15"/>
        <v>34.549999999999997</v>
      </c>
      <c r="AI58" s="3">
        <f t="shared" si="16"/>
        <v>54.53</v>
      </c>
      <c r="AJ58" s="4">
        <f t="shared" si="17"/>
        <v>38.79</v>
      </c>
      <c r="AK58" s="3">
        <f t="shared" si="17"/>
        <v>61.21</v>
      </c>
      <c r="AL58" s="1">
        <f t="shared" si="22"/>
        <v>-12.21</v>
      </c>
      <c r="AM58" s="1">
        <f t="shared" si="23"/>
        <v>-10.67</v>
      </c>
      <c r="AN58" s="3">
        <f t="shared" si="24"/>
        <v>-11.21</v>
      </c>
      <c r="AO58" s="1" t="b">
        <f t="shared" si="18"/>
        <v>0</v>
      </c>
      <c r="AP58" s="1" t="b">
        <f t="shared" si="18"/>
        <v>0</v>
      </c>
      <c r="AQ58" s="3" t="b">
        <f t="shared" si="19"/>
        <v>0</v>
      </c>
      <c r="AR58" s="1">
        <f t="shared" si="20"/>
        <v>1.5400000000000009</v>
      </c>
      <c r="AS58" s="1">
        <f t="shared" si="20"/>
        <v>1</v>
      </c>
      <c r="AT58" s="3">
        <f t="shared" si="21"/>
        <v>0.54000000000000092</v>
      </c>
      <c r="AU58" s="1">
        <f>ROUND(IF($B58="NSW",L58*Meta!$B$6,L58),1)</f>
        <v>2284</v>
      </c>
      <c r="AV58" s="3">
        <f t="shared" si="25"/>
        <v>70771.399999999994</v>
      </c>
    </row>
    <row r="59" spans="1:48" x14ac:dyDescent="0.55000000000000004">
      <c r="A59" s="2" t="s">
        <v>63</v>
      </c>
      <c r="B59" s="3" t="s">
        <v>9</v>
      </c>
      <c r="C59" s="4">
        <v>50.46</v>
      </c>
      <c r="D59" s="5">
        <v>25.85</v>
      </c>
      <c r="E59" s="5">
        <v>0</v>
      </c>
      <c r="F59" s="5">
        <v>7.9</v>
      </c>
      <c r="G59" s="5">
        <v>8.26</v>
      </c>
      <c r="H59" s="5">
        <v>7.52</v>
      </c>
      <c r="I59" s="4">
        <v>35.82</v>
      </c>
      <c r="J59" s="3">
        <v>64.180000000000007</v>
      </c>
      <c r="K59" s="4">
        <v>98605</v>
      </c>
      <c r="L59" s="5">
        <v>6046</v>
      </c>
      <c r="M59" s="3">
        <f t="shared" si="4"/>
        <v>92559</v>
      </c>
      <c r="N59" s="5">
        <f t="shared" si="5"/>
        <v>6.1315349120227167E-2</v>
      </c>
      <c r="O59" s="4">
        <f>ROUND($C59+MIN($D59:$E59)*(1-SUMIFS(PrefFlows!$C:$C,PrefFlows!$A:$A,INDEX($D$1:$E$1,MATCH(MIN($D59:$E59),$D59:$E59,0)),PrefFlows!$B:$B,$B59)),2)</f>
        <v>50.46</v>
      </c>
      <c r="P59" s="5">
        <f>ROUND(MAX($D59:$E59)+MIN($D59:$E59)*SUMIFS(PrefFlows!$C:$C,PrefFlows!$A:$A,INDEX($D$1:$E$1,MATCH(MIN($D59:$E59),$D59:$E59,0)),PrefFlows!$B:$B,$B59),2)</f>
        <v>25.85</v>
      </c>
      <c r="Q59" s="5">
        <f t="shared" si="26"/>
        <v>7.9</v>
      </c>
      <c r="R59" s="5">
        <f t="shared" si="27"/>
        <v>8.26</v>
      </c>
      <c r="S59" s="3">
        <f t="shared" si="8"/>
        <v>7.52</v>
      </c>
      <c r="T59" s="6">
        <f t="shared" si="9"/>
        <v>-24.61</v>
      </c>
      <c r="U59" s="4">
        <f>ROUND($Q59*SUMIFS(PrefFlows!$C:$C,PrefFlows!$A:$A,$Q$1,PrefFlows!$B:$B,$B59)+$R59*SUMIFS(PrefFlows!$C:$C,PrefFlows!$A:$A,$R$1,PrefFlows!$B:$B,$B59)+$S59*SUMIFS(PrefFlows!$C:$C,PrefFlows!$A:$A,$S$1,PrefFlows!$B:$B,$B59),2)</f>
        <v>10.42</v>
      </c>
      <c r="V59" s="3">
        <f>ROUND($Q59*(1-SUMIFS(PrefFlows!$C:$C,PrefFlows!$A:$A,$Q$1,PrefFlows!$B:$B,$B59))+$R59*(1-SUMIFS(PrefFlows!$C:$C,PrefFlows!$A:$A,$R$1,PrefFlows!$B:$B,$B59))+$S59*(1-SUMIFS(PrefFlows!$C:$C,PrefFlows!$A:$A,$S$1,PrefFlows!$B:$B,$B59)),2)</f>
        <v>13.26</v>
      </c>
      <c r="W59" s="4">
        <f t="shared" si="10"/>
        <v>9.9700000000000006</v>
      </c>
      <c r="X59" s="3">
        <f t="shared" si="11"/>
        <v>13.72</v>
      </c>
      <c r="Y59" s="4">
        <f t="shared" si="12"/>
        <v>0.44</v>
      </c>
      <c r="Z59" s="5">
        <f t="shared" si="13"/>
        <v>0.4209</v>
      </c>
      <c r="AA59" s="5">
        <f t="shared" si="14"/>
        <v>-1.9099999999999999E-2</v>
      </c>
      <c r="AB59" s="3">
        <v>7.23724385004125E-2</v>
      </c>
      <c r="AC59" s="4">
        <f>ROUND(Q59*(1-(Exhaust!$B$2+AB59)),2)</f>
        <v>2.9</v>
      </c>
      <c r="AD59" s="5">
        <f>ROUND(R59*(1-(Exhaust!$B$3+$AB59)),2)</f>
        <v>4.3600000000000003</v>
      </c>
      <c r="AE59" s="3">
        <f>ROUND(S59*(1-(Exhaust!$B$4+$AB59)),2)</f>
        <v>3.22</v>
      </c>
      <c r="AF59" s="4">
        <f>ROUND($AC59*(SUMIFS(PrefFlows!$C:$C,PrefFlows!$A:$A,$Q$1,PrefFlows!$B:$B,$B59)+$AA59)+$AD59*(SUMIFS(PrefFlows!$C:$C,PrefFlows!$A:$A,$R$1,PrefFlows!$B:$B,$B59)+$AA59)+$AE59*(SUMIFS(PrefFlows!$C:$C,PrefFlows!$A:$A,$S$1,PrefFlows!$B:$B,$B59)+$AA59),2)</f>
        <v>4.08</v>
      </c>
      <c r="AG59" s="3">
        <f>ROUND($AC59*(1-(SUMIFS(PrefFlows!$C:$C,PrefFlows!$A:$A,$Q$1,PrefFlows!$B:$B,$B59)+$AA59))+$AD59*(1-(SUMIFS(PrefFlows!$C:$C,PrefFlows!$A:$A,$R$1,PrefFlows!$B:$B,$B59)+$AA59))+$AE59*(1-(SUMIFS(PrefFlows!$C:$C,PrefFlows!$A:$A,$S$1,PrefFlows!$B:$B,$B59)+$AA59)),2)</f>
        <v>6.4</v>
      </c>
      <c r="AH59" s="4">
        <f t="shared" si="15"/>
        <v>29.93</v>
      </c>
      <c r="AI59" s="3">
        <f t="shared" si="16"/>
        <v>56.86</v>
      </c>
      <c r="AJ59" s="4">
        <f t="shared" si="17"/>
        <v>34.49</v>
      </c>
      <c r="AK59" s="3">
        <f t="shared" si="17"/>
        <v>65.510000000000005</v>
      </c>
      <c r="AL59" s="1">
        <f t="shared" si="22"/>
        <v>-14.18</v>
      </c>
      <c r="AM59" s="1">
        <f t="shared" si="23"/>
        <v>-14.98</v>
      </c>
      <c r="AN59" s="3">
        <f t="shared" si="24"/>
        <v>-15.51</v>
      </c>
      <c r="AO59" s="1" t="b">
        <f t="shared" si="18"/>
        <v>0</v>
      </c>
      <c r="AP59" s="1" t="b">
        <f t="shared" si="18"/>
        <v>0</v>
      </c>
      <c r="AQ59" s="3" t="b">
        <f t="shared" si="19"/>
        <v>0</v>
      </c>
      <c r="AR59" s="1">
        <f t="shared" si="20"/>
        <v>-0.80000000000000071</v>
      </c>
      <c r="AS59" s="1">
        <f t="shared" si="20"/>
        <v>-1.33</v>
      </c>
      <c r="AT59" s="3">
        <f t="shared" si="21"/>
        <v>0.52999999999999936</v>
      </c>
      <c r="AU59" s="1">
        <f>ROUND(IF($B59="NSW",L59*Meta!$B$6,L59),1)</f>
        <v>6046</v>
      </c>
      <c r="AV59" s="3">
        <f t="shared" si="25"/>
        <v>93910.1</v>
      </c>
    </row>
    <row r="60" spans="1:48" x14ac:dyDescent="0.55000000000000004">
      <c r="A60" s="2" t="s">
        <v>64</v>
      </c>
      <c r="B60" s="3" t="s">
        <v>29</v>
      </c>
      <c r="C60" s="4">
        <v>38.020000000000003</v>
      </c>
      <c r="D60" s="5">
        <v>34.97</v>
      </c>
      <c r="E60" s="5">
        <v>0</v>
      </c>
      <c r="F60" s="5">
        <v>5.76</v>
      </c>
      <c r="G60" s="5">
        <v>16</v>
      </c>
      <c r="H60" s="5">
        <v>5.25</v>
      </c>
      <c r="I60" s="4">
        <v>43.08</v>
      </c>
      <c r="J60" s="3">
        <v>56.92</v>
      </c>
      <c r="K60" s="4">
        <v>96302</v>
      </c>
      <c r="L60" s="5">
        <v>5199</v>
      </c>
      <c r="M60" s="3">
        <f t="shared" si="4"/>
        <v>91103</v>
      </c>
      <c r="N60" s="5">
        <f t="shared" si="5"/>
        <v>5.3986417727565364E-2</v>
      </c>
      <c r="O60" s="4">
        <f>ROUND($C60+MIN($D60:$E60)*(1-SUMIFS(PrefFlows!$C:$C,PrefFlows!$A:$A,INDEX($D$1:$E$1,MATCH(MIN($D60:$E60),$D60:$E60,0)),PrefFlows!$B:$B,$B60)),2)</f>
        <v>38.020000000000003</v>
      </c>
      <c r="P60" s="5">
        <f>ROUND(MAX($D60:$E60)+MIN($D60:$E60)*SUMIFS(PrefFlows!$C:$C,PrefFlows!$A:$A,INDEX($D$1:$E$1,MATCH(MIN($D60:$E60),$D60:$E60,0)),PrefFlows!$B:$B,$B60),2)</f>
        <v>34.97</v>
      </c>
      <c r="Q60" s="5">
        <f t="shared" si="26"/>
        <v>5.76</v>
      </c>
      <c r="R60" s="5">
        <f t="shared" si="27"/>
        <v>16</v>
      </c>
      <c r="S60" s="3">
        <f t="shared" si="8"/>
        <v>5.25</v>
      </c>
      <c r="T60" s="6">
        <f t="shared" si="9"/>
        <v>-3.05</v>
      </c>
      <c r="U60" s="4">
        <f>ROUND($Q60*SUMIFS(PrefFlows!$C:$C,PrefFlows!$A:$A,$Q$1,PrefFlows!$B:$B,$B60)+$R60*SUMIFS(PrefFlows!$C:$C,PrefFlows!$A:$A,$R$1,PrefFlows!$B:$B,$B60)+$S60*SUMIFS(PrefFlows!$C:$C,PrefFlows!$A:$A,$S$1,PrefFlows!$B:$B,$B60),2)</f>
        <v>9.65</v>
      </c>
      <c r="V60" s="3">
        <f>ROUND($Q60*(1-SUMIFS(PrefFlows!$C:$C,PrefFlows!$A:$A,$Q$1,PrefFlows!$B:$B,$B60))+$R60*(1-SUMIFS(PrefFlows!$C:$C,PrefFlows!$A:$A,$R$1,PrefFlows!$B:$B,$B60))+$S60*(1-SUMIFS(PrefFlows!$C:$C,PrefFlows!$A:$A,$S$1,PrefFlows!$B:$B,$B60)),2)</f>
        <v>17.36</v>
      </c>
      <c r="W60" s="4">
        <f t="shared" si="10"/>
        <v>8.11</v>
      </c>
      <c r="X60" s="3">
        <f t="shared" si="11"/>
        <v>18.899999999999999</v>
      </c>
      <c r="Y60" s="4">
        <f t="shared" si="12"/>
        <v>0.35730000000000001</v>
      </c>
      <c r="Z60" s="5">
        <f t="shared" si="13"/>
        <v>0.30030000000000001</v>
      </c>
      <c r="AA60" s="5">
        <f t="shared" si="14"/>
        <v>-5.7000000000000002E-2</v>
      </c>
      <c r="AB60" s="3">
        <v>-1.89641393169859E-3</v>
      </c>
      <c r="AC60" s="4">
        <f>ROUND(Q60*(1-(Exhaust!$B$2+AB60)),2)</f>
        <v>2.5499999999999998</v>
      </c>
      <c r="AD60" s="5">
        <f>ROUND(R60*(1-(Exhaust!$B$3+$AB60)),2)</f>
        <v>9.6300000000000008</v>
      </c>
      <c r="AE60" s="3">
        <f>ROUND(S60*(1-(Exhaust!$B$4+$AB60)),2)</f>
        <v>2.63</v>
      </c>
      <c r="AF60" s="4">
        <f>ROUND($AC60*(SUMIFS(PrefFlows!$C:$C,PrefFlows!$A:$A,$Q$1,PrefFlows!$B:$B,$B60)+$AA60)+$AD60*(SUMIFS(PrefFlows!$C:$C,PrefFlows!$A:$A,$R$1,PrefFlows!$B:$B,$B60)+$AA60)+$AE60*(SUMIFS(PrefFlows!$C:$C,PrefFlows!$A:$A,$S$1,PrefFlows!$B:$B,$B60)+$AA60),2)</f>
        <v>4.0999999999999996</v>
      </c>
      <c r="AG60" s="3">
        <f>ROUND($AC60*(1-(SUMIFS(PrefFlows!$C:$C,PrefFlows!$A:$A,$Q$1,PrefFlows!$B:$B,$B60)+$AA60))+$AD60*(1-(SUMIFS(PrefFlows!$C:$C,PrefFlows!$A:$A,$R$1,PrefFlows!$B:$B,$B60)+$AA60))+$AE60*(1-(SUMIFS(PrefFlows!$C:$C,PrefFlows!$A:$A,$S$1,PrefFlows!$B:$B,$B60)+$AA60)),2)</f>
        <v>10.71</v>
      </c>
      <c r="AH60" s="4">
        <f t="shared" si="15"/>
        <v>39.07</v>
      </c>
      <c r="AI60" s="3">
        <f t="shared" si="16"/>
        <v>48.73</v>
      </c>
      <c r="AJ60" s="4">
        <f t="shared" si="17"/>
        <v>44.5</v>
      </c>
      <c r="AK60" s="3">
        <f t="shared" si="17"/>
        <v>55.5</v>
      </c>
      <c r="AL60" s="1">
        <f t="shared" si="22"/>
        <v>-6.92</v>
      </c>
      <c r="AM60" s="1">
        <f t="shared" si="23"/>
        <v>-4.9800000000000004</v>
      </c>
      <c r="AN60" s="3">
        <f t="shared" si="24"/>
        <v>-5.5</v>
      </c>
      <c r="AO60" s="1" t="b">
        <f t="shared" si="18"/>
        <v>0</v>
      </c>
      <c r="AP60" s="1" t="b">
        <f t="shared" si="18"/>
        <v>0</v>
      </c>
      <c r="AQ60" s="3" t="b">
        <f t="shared" si="19"/>
        <v>0</v>
      </c>
      <c r="AR60" s="1">
        <f t="shared" si="20"/>
        <v>1.9399999999999995</v>
      </c>
      <c r="AS60" s="1">
        <f t="shared" si="20"/>
        <v>1.42</v>
      </c>
      <c r="AT60" s="3">
        <f t="shared" si="21"/>
        <v>0.51999999999999957</v>
      </c>
      <c r="AU60" s="1">
        <f>ROUND(IF($B60="NSW",L60*Meta!$B$6,L60),1)</f>
        <v>5199</v>
      </c>
      <c r="AV60" s="3">
        <f t="shared" si="25"/>
        <v>92264.8</v>
      </c>
    </row>
    <row r="61" spans="1:48" x14ac:dyDescent="0.55000000000000004">
      <c r="A61" s="2" t="s">
        <v>65</v>
      </c>
      <c r="B61" s="3" t="s">
        <v>9</v>
      </c>
      <c r="C61" s="4">
        <v>48.66</v>
      </c>
      <c r="D61" s="5">
        <v>29.33</v>
      </c>
      <c r="E61" s="5">
        <v>0</v>
      </c>
      <c r="F61" s="5">
        <v>5.47</v>
      </c>
      <c r="G61" s="5">
        <v>16.55</v>
      </c>
      <c r="H61" s="5">
        <v>0</v>
      </c>
      <c r="I61" s="4">
        <v>35.17</v>
      </c>
      <c r="J61" s="3">
        <v>64.83</v>
      </c>
      <c r="K61" s="4">
        <v>102113</v>
      </c>
      <c r="L61" s="5">
        <v>3582</v>
      </c>
      <c r="M61" s="3">
        <f t="shared" si="4"/>
        <v>98531</v>
      </c>
      <c r="N61" s="5">
        <f t="shared" si="5"/>
        <v>3.5078785267301911E-2</v>
      </c>
      <c r="O61" s="4">
        <f>ROUND($C61+MIN($D61:$E61)*(1-SUMIFS(PrefFlows!$C:$C,PrefFlows!$A:$A,INDEX($D$1:$E$1,MATCH(MIN($D61:$E61),$D61:$E61,0)),PrefFlows!$B:$B,$B61)),2)</f>
        <v>48.66</v>
      </c>
      <c r="P61" s="5">
        <f>ROUND(MAX($D61:$E61)+MIN($D61:$E61)*SUMIFS(PrefFlows!$C:$C,PrefFlows!$A:$A,INDEX($D$1:$E$1,MATCH(MIN($D61:$E61),$D61:$E61,0)),PrefFlows!$B:$B,$B61),2)</f>
        <v>29.33</v>
      </c>
      <c r="Q61" s="5">
        <f t="shared" si="26"/>
        <v>5.47</v>
      </c>
      <c r="R61" s="5">
        <f t="shared" si="27"/>
        <v>16.55</v>
      </c>
      <c r="S61" s="3">
        <f t="shared" si="8"/>
        <v>0</v>
      </c>
      <c r="T61" s="6">
        <f t="shared" si="9"/>
        <v>-19.329999999999998</v>
      </c>
      <c r="U61" s="4">
        <f>ROUND($Q61*SUMIFS(PrefFlows!$C:$C,PrefFlows!$A:$A,$Q$1,PrefFlows!$B:$B,$B61)+$R61*SUMIFS(PrefFlows!$C:$C,PrefFlows!$A:$A,$R$1,PrefFlows!$B:$B,$B61)+$S61*SUMIFS(PrefFlows!$C:$C,PrefFlows!$A:$A,$S$1,PrefFlows!$B:$B,$B61),2)</f>
        <v>6.1</v>
      </c>
      <c r="V61" s="3">
        <f>ROUND($Q61*(1-SUMIFS(PrefFlows!$C:$C,PrefFlows!$A:$A,$Q$1,PrefFlows!$B:$B,$B61))+$R61*(1-SUMIFS(PrefFlows!$C:$C,PrefFlows!$A:$A,$R$1,PrefFlows!$B:$B,$B61))+$S61*(1-SUMIFS(PrefFlows!$C:$C,PrefFlows!$A:$A,$S$1,PrefFlows!$B:$B,$B61)),2)</f>
        <v>15.92</v>
      </c>
      <c r="W61" s="4">
        <f t="shared" si="10"/>
        <v>5.84</v>
      </c>
      <c r="X61" s="3">
        <f t="shared" si="11"/>
        <v>16.170000000000002</v>
      </c>
      <c r="Y61" s="4">
        <f t="shared" si="12"/>
        <v>0.27700000000000002</v>
      </c>
      <c r="Z61" s="5">
        <f t="shared" si="13"/>
        <v>0.26529999999999998</v>
      </c>
      <c r="AA61" s="5">
        <f t="shared" si="14"/>
        <v>-1.17E-2</v>
      </c>
      <c r="AB61" s="3">
        <v>1.2978044400378299E-2</v>
      </c>
      <c r="AC61" s="4">
        <f>ROUND(Q61*(1-(Exhaust!$B$2+AB61)),2)</f>
        <v>2.34</v>
      </c>
      <c r="AD61" s="5">
        <f>ROUND(R61*(1-(Exhaust!$B$3+$AB61)),2)</f>
        <v>9.7200000000000006</v>
      </c>
      <c r="AE61" s="3">
        <f>ROUND(S61*(1-(Exhaust!$B$4+$AB61)),2)</f>
        <v>0</v>
      </c>
      <c r="AF61" s="4">
        <f>ROUND($AC61*(SUMIFS(PrefFlows!$C:$C,PrefFlows!$A:$A,$Q$1,PrefFlows!$B:$B,$B61)+$AA61)+$AD61*(SUMIFS(PrefFlows!$C:$C,PrefFlows!$A:$A,$R$1,PrefFlows!$B:$B,$B61)+$AA61)+$AE61*(SUMIFS(PrefFlows!$C:$C,PrefFlows!$A:$A,$S$1,PrefFlows!$B:$B,$B61)+$AA61),2)</f>
        <v>2.88</v>
      </c>
      <c r="AG61" s="3">
        <f>ROUND($AC61*(1-(SUMIFS(PrefFlows!$C:$C,PrefFlows!$A:$A,$Q$1,PrefFlows!$B:$B,$B61)+$AA61))+$AD61*(1-(SUMIFS(PrefFlows!$C:$C,PrefFlows!$A:$A,$R$1,PrefFlows!$B:$B,$B61)+$AA61))+$AE61*(1-(SUMIFS(PrefFlows!$C:$C,PrefFlows!$A:$A,$S$1,PrefFlows!$B:$B,$B61)+$AA61)),2)</f>
        <v>9.18</v>
      </c>
      <c r="AH61" s="4">
        <f t="shared" si="15"/>
        <v>32.21</v>
      </c>
      <c r="AI61" s="3">
        <f t="shared" si="16"/>
        <v>57.84</v>
      </c>
      <c r="AJ61" s="4">
        <f t="shared" si="17"/>
        <v>35.770000000000003</v>
      </c>
      <c r="AK61" s="3">
        <f t="shared" si="17"/>
        <v>64.23</v>
      </c>
      <c r="AL61" s="1">
        <f t="shared" si="22"/>
        <v>-14.83</v>
      </c>
      <c r="AM61" s="1">
        <f t="shared" si="23"/>
        <v>-13.81</v>
      </c>
      <c r="AN61" s="3">
        <f t="shared" si="24"/>
        <v>-14.23</v>
      </c>
      <c r="AO61" s="1" t="b">
        <f t="shared" si="18"/>
        <v>0</v>
      </c>
      <c r="AP61" s="1" t="b">
        <f t="shared" si="18"/>
        <v>0</v>
      </c>
      <c r="AQ61" s="3" t="b">
        <f t="shared" si="19"/>
        <v>0</v>
      </c>
      <c r="AR61" s="1">
        <f t="shared" si="20"/>
        <v>1.0199999999999996</v>
      </c>
      <c r="AS61" s="1">
        <f t="shared" si="20"/>
        <v>0.59999999999999964</v>
      </c>
      <c r="AT61" s="3">
        <f t="shared" si="21"/>
        <v>0.41999999999999993</v>
      </c>
      <c r="AU61" s="1">
        <f>ROUND(IF($B61="NSW",L61*Meta!$B$6,L61),1)</f>
        <v>3582</v>
      </c>
      <c r="AV61" s="3">
        <f t="shared" si="25"/>
        <v>99331.4</v>
      </c>
    </row>
    <row r="62" spans="1:48" x14ac:dyDescent="0.55000000000000004">
      <c r="A62" s="2" t="s">
        <v>66</v>
      </c>
      <c r="B62" s="3" t="s">
        <v>12</v>
      </c>
      <c r="C62" s="4">
        <v>36.19</v>
      </c>
      <c r="D62" s="5">
        <v>29.19</v>
      </c>
      <c r="E62" s="5">
        <v>12.5</v>
      </c>
      <c r="F62" s="5">
        <v>3.38</v>
      </c>
      <c r="G62" s="5">
        <v>9.9700000000000006</v>
      </c>
      <c r="H62" s="5">
        <v>8.77</v>
      </c>
      <c r="I62" s="4">
        <v>47.39</v>
      </c>
      <c r="J62" s="3">
        <v>52.61</v>
      </c>
      <c r="K62" s="4">
        <v>113647</v>
      </c>
      <c r="L62" s="5">
        <v>5970</v>
      </c>
      <c r="M62" s="3">
        <f t="shared" si="4"/>
        <v>107677</v>
      </c>
      <c r="N62" s="5">
        <f t="shared" si="5"/>
        <v>5.2531083090622717E-2</v>
      </c>
      <c r="O62" s="4">
        <f>ROUND($C62+MIN($D62:$E62)*(1-SUMIFS(PrefFlows!$C:$C,PrefFlows!$A:$A,INDEX($D$1:$E$1,MATCH(MIN($D62:$E62),$D62:$E62,0)),PrefFlows!$B:$B,$B62)),2)</f>
        <v>38.08</v>
      </c>
      <c r="P62" s="5">
        <f>ROUND(MAX($D62:$E62)+MIN($D62:$E62)*SUMIFS(PrefFlows!$C:$C,PrefFlows!$A:$A,INDEX($D$1:$E$1,MATCH(MIN($D62:$E62),$D62:$E62,0)),PrefFlows!$B:$B,$B62),2)</f>
        <v>39.799999999999997</v>
      </c>
      <c r="Q62" s="5">
        <f t="shared" si="26"/>
        <v>3.38</v>
      </c>
      <c r="R62" s="5">
        <f t="shared" si="27"/>
        <v>9.9700000000000006</v>
      </c>
      <c r="S62" s="3">
        <f t="shared" si="8"/>
        <v>8.77</v>
      </c>
      <c r="T62" s="6">
        <f t="shared" si="9"/>
        <v>1.72</v>
      </c>
      <c r="U62" s="4">
        <f>ROUND($Q62*SUMIFS(PrefFlows!$C:$C,PrefFlows!$A:$A,$Q$1,PrefFlows!$B:$B,$B62)+$R62*SUMIFS(PrefFlows!$C:$C,PrefFlows!$A:$A,$R$1,PrefFlows!$B:$B,$B62)+$S62*SUMIFS(PrefFlows!$C:$C,PrefFlows!$A:$A,$S$1,PrefFlows!$B:$B,$B62),2)</f>
        <v>8.5299999999999994</v>
      </c>
      <c r="V62" s="3">
        <f>ROUND($Q62*(1-SUMIFS(PrefFlows!$C:$C,PrefFlows!$A:$A,$Q$1,PrefFlows!$B:$B,$B62))+$R62*(1-SUMIFS(PrefFlows!$C:$C,PrefFlows!$A:$A,$R$1,PrefFlows!$B:$B,$B62))+$S62*(1-SUMIFS(PrefFlows!$C:$C,PrefFlows!$A:$A,$S$1,PrefFlows!$B:$B,$B62)),2)</f>
        <v>13.59</v>
      </c>
      <c r="W62" s="4">
        <f t="shared" si="10"/>
        <v>7.59</v>
      </c>
      <c r="X62" s="3">
        <f t="shared" si="11"/>
        <v>14.53</v>
      </c>
      <c r="Y62" s="4">
        <f t="shared" si="12"/>
        <v>0.3856</v>
      </c>
      <c r="Z62" s="5">
        <f t="shared" si="13"/>
        <v>0.34310000000000002</v>
      </c>
      <c r="AA62" s="5">
        <f t="shared" si="14"/>
        <v>-4.2500000000000003E-2</v>
      </c>
      <c r="AB62" s="3">
        <v>1.5115289948442899E-2</v>
      </c>
      <c r="AC62" s="4">
        <f>ROUND(Q62*(1-(Exhaust!$B$2+AB62)),2)</f>
        <v>1.44</v>
      </c>
      <c r="AD62" s="5">
        <f>ROUND(R62*(1-(Exhaust!$B$3+$AB62)),2)</f>
        <v>5.83</v>
      </c>
      <c r="AE62" s="3">
        <f>ROUND(S62*(1-(Exhaust!$B$4+$AB62)),2)</f>
        <v>4.25</v>
      </c>
      <c r="AF62" s="4">
        <f>ROUND($AC62*(SUMIFS(PrefFlows!$C:$C,PrefFlows!$A:$A,$Q$1,PrefFlows!$B:$B,$B62)+$AA62)+$AD62*(SUMIFS(PrefFlows!$C:$C,PrefFlows!$A:$A,$R$1,PrefFlows!$B:$B,$B62)+$AA62)+$AE62*(SUMIFS(PrefFlows!$C:$C,PrefFlows!$A:$A,$S$1,PrefFlows!$B:$B,$B62)+$AA62),2)</f>
        <v>3.69</v>
      </c>
      <c r="AG62" s="3">
        <f>ROUND($AC62*(1-(SUMIFS(PrefFlows!$C:$C,PrefFlows!$A:$A,$Q$1,PrefFlows!$B:$B,$B62)+$AA62))+$AD62*(1-(SUMIFS(PrefFlows!$C:$C,PrefFlows!$A:$A,$R$1,PrefFlows!$B:$B,$B62)+$AA62))+$AE62*(1-(SUMIFS(PrefFlows!$C:$C,PrefFlows!$A:$A,$S$1,PrefFlows!$B:$B,$B62)+$AA62)),2)</f>
        <v>7.83</v>
      </c>
      <c r="AH62" s="4">
        <f t="shared" si="15"/>
        <v>43.49</v>
      </c>
      <c r="AI62" s="3">
        <f t="shared" si="16"/>
        <v>45.91</v>
      </c>
      <c r="AJ62" s="4">
        <f t="shared" si="17"/>
        <v>48.65</v>
      </c>
      <c r="AK62" s="3">
        <f t="shared" si="17"/>
        <v>51.35</v>
      </c>
      <c r="AL62" s="1">
        <f t="shared" si="22"/>
        <v>-2.61</v>
      </c>
      <c r="AM62" s="1">
        <f t="shared" si="23"/>
        <v>-1.06</v>
      </c>
      <c r="AN62" s="3">
        <f t="shared" si="24"/>
        <v>-1.35</v>
      </c>
      <c r="AO62" s="1" t="b">
        <f t="shared" si="18"/>
        <v>0</v>
      </c>
      <c r="AP62" s="1" t="b">
        <f t="shared" si="18"/>
        <v>0</v>
      </c>
      <c r="AQ62" s="3" t="b">
        <f t="shared" si="19"/>
        <v>0</v>
      </c>
      <c r="AR62" s="1">
        <f t="shared" si="20"/>
        <v>1.5499999999999998</v>
      </c>
      <c r="AS62" s="1">
        <f t="shared" si="20"/>
        <v>1.2599999999999998</v>
      </c>
      <c r="AT62" s="3">
        <f t="shared" si="21"/>
        <v>0.29000000000000004</v>
      </c>
      <c r="AU62" s="1">
        <f>ROUND(IF($B62="NSW",L62*Meta!$B$6,L62),1)</f>
        <v>3970.1</v>
      </c>
      <c r="AV62" s="3">
        <f t="shared" si="25"/>
        <v>110564.1</v>
      </c>
    </row>
    <row r="63" spans="1:48" x14ac:dyDescent="0.55000000000000004">
      <c r="A63" s="2" t="s">
        <v>67</v>
      </c>
      <c r="B63" s="3" t="s">
        <v>9</v>
      </c>
      <c r="C63" s="4">
        <v>23.2</v>
      </c>
      <c r="D63" s="5">
        <v>0</v>
      </c>
      <c r="E63" s="5">
        <v>54</v>
      </c>
      <c r="F63" s="5">
        <v>4.4000000000000004</v>
      </c>
      <c r="G63" s="5">
        <v>6.04</v>
      </c>
      <c r="H63" s="5">
        <v>12.37</v>
      </c>
      <c r="I63" s="4">
        <v>66.67</v>
      </c>
      <c r="J63" s="3">
        <v>33.33</v>
      </c>
      <c r="K63" s="4">
        <v>101998</v>
      </c>
      <c r="L63" s="5">
        <v>5320</v>
      </c>
      <c r="M63" s="3">
        <f t="shared" si="4"/>
        <v>96678</v>
      </c>
      <c r="N63" s="5">
        <f t="shared" si="5"/>
        <v>5.2157885448734287E-2</v>
      </c>
      <c r="O63" s="4">
        <f>ROUND($C63+MIN($D63:$E63)*(1-SUMIFS(PrefFlows!$C:$C,PrefFlows!$A:$A,INDEX($D$1:$E$1,MATCH(MIN($D63:$E63),$D63:$E63,0)),PrefFlows!$B:$B,$B63)),2)</f>
        <v>23.2</v>
      </c>
      <c r="P63" s="5">
        <f>ROUND(MAX($D63:$E63)+MIN($D63:$E63)*SUMIFS(PrefFlows!$C:$C,PrefFlows!$A:$A,INDEX($D$1:$E$1,MATCH(MIN($D63:$E63),$D63:$E63,0)),PrefFlows!$B:$B,$B63),2)</f>
        <v>54</v>
      </c>
      <c r="Q63" s="5">
        <f t="shared" si="26"/>
        <v>4.4000000000000004</v>
      </c>
      <c r="R63" s="5">
        <f t="shared" si="27"/>
        <v>6.04</v>
      </c>
      <c r="S63" s="3">
        <f t="shared" si="8"/>
        <v>12.37</v>
      </c>
      <c r="T63" s="6">
        <f t="shared" si="9"/>
        <v>30.8</v>
      </c>
      <c r="U63" s="4">
        <f>ROUND($Q63*SUMIFS(PrefFlows!$C:$C,PrefFlows!$A:$A,$Q$1,PrefFlows!$B:$B,$B63)+$R63*SUMIFS(PrefFlows!$C:$C,PrefFlows!$A:$A,$R$1,PrefFlows!$B:$B,$B63)+$S63*SUMIFS(PrefFlows!$C:$C,PrefFlows!$A:$A,$S$1,PrefFlows!$B:$B,$B63),2)</f>
        <v>10.46</v>
      </c>
      <c r="V63" s="3">
        <f>ROUND($Q63*(1-SUMIFS(PrefFlows!$C:$C,PrefFlows!$A:$A,$Q$1,PrefFlows!$B:$B,$B63))+$R63*(1-SUMIFS(PrefFlows!$C:$C,PrefFlows!$A:$A,$R$1,PrefFlows!$B:$B,$B63))+$S63*(1-SUMIFS(PrefFlows!$C:$C,PrefFlows!$A:$A,$S$1,PrefFlows!$B:$B,$B63)),2)</f>
        <v>12.35</v>
      </c>
      <c r="W63" s="4">
        <f t="shared" si="10"/>
        <v>12.67</v>
      </c>
      <c r="X63" s="3">
        <f t="shared" si="11"/>
        <v>10.130000000000001</v>
      </c>
      <c r="Y63" s="4">
        <f t="shared" si="12"/>
        <v>0.45860000000000001</v>
      </c>
      <c r="Z63" s="5">
        <f t="shared" si="13"/>
        <v>0.55569999999999997</v>
      </c>
      <c r="AA63" s="5">
        <f t="shared" si="14"/>
        <v>9.7100000000000006E-2</v>
      </c>
      <c r="AB63" s="3">
        <v>2.6154431840050001E-2</v>
      </c>
      <c r="AC63" s="4">
        <f>ROUND(Q63*(1-(Exhaust!$B$2+AB63)),2)</f>
        <v>1.82</v>
      </c>
      <c r="AD63" s="5">
        <f>ROUND(R63*(1-(Exhaust!$B$3+$AB63)),2)</f>
        <v>3.47</v>
      </c>
      <c r="AE63" s="3">
        <f>ROUND(S63*(1-(Exhaust!$B$4+$AB63)),2)</f>
        <v>5.86</v>
      </c>
      <c r="AF63" s="4">
        <f>ROUND($AC63*(SUMIFS(PrefFlows!$C:$C,PrefFlows!$A:$A,$Q$1,PrefFlows!$B:$B,$B63)+$AA63)+$AD63*(SUMIFS(PrefFlows!$C:$C,PrefFlows!$A:$A,$R$1,PrefFlows!$B:$B,$B63)+$AA63)+$AE63*(SUMIFS(PrefFlows!$C:$C,PrefFlows!$A:$A,$S$1,PrefFlows!$B:$B,$B63)+$AA63),2)</f>
        <v>5.96</v>
      </c>
      <c r="AG63" s="3">
        <f>ROUND($AC63*(1-(SUMIFS(PrefFlows!$C:$C,PrefFlows!$A:$A,$Q$1,PrefFlows!$B:$B,$B63)+$AA63))+$AD63*(1-(SUMIFS(PrefFlows!$C:$C,PrefFlows!$A:$A,$R$1,PrefFlows!$B:$B,$B63)+$AA63))+$AE63*(1-(SUMIFS(PrefFlows!$C:$C,PrefFlows!$A:$A,$S$1,PrefFlows!$B:$B,$B63)+$AA63)),2)</f>
        <v>5.19</v>
      </c>
      <c r="AH63" s="4">
        <f t="shared" si="15"/>
        <v>59.96</v>
      </c>
      <c r="AI63" s="3">
        <f t="shared" si="16"/>
        <v>28.39</v>
      </c>
      <c r="AJ63" s="4">
        <f t="shared" si="17"/>
        <v>67.87</v>
      </c>
      <c r="AK63" s="3">
        <f t="shared" si="17"/>
        <v>32.130000000000003</v>
      </c>
      <c r="AL63" s="1">
        <f t="shared" si="22"/>
        <v>16.670000000000002</v>
      </c>
      <c r="AM63" s="1">
        <f t="shared" si="23"/>
        <v>18.03</v>
      </c>
      <c r="AN63" s="3">
        <f t="shared" si="24"/>
        <v>17.87</v>
      </c>
      <c r="AO63" s="1" t="b">
        <f t="shared" si="18"/>
        <v>0</v>
      </c>
      <c r="AP63" s="1" t="b">
        <f t="shared" si="18"/>
        <v>0</v>
      </c>
      <c r="AQ63" s="3" t="b">
        <f t="shared" si="19"/>
        <v>0</v>
      </c>
      <c r="AR63" s="1">
        <f t="shared" si="20"/>
        <v>1.3599999999999994</v>
      </c>
      <c r="AS63" s="1">
        <f t="shared" si="20"/>
        <v>1.1999999999999993</v>
      </c>
      <c r="AT63" s="3">
        <f t="shared" si="21"/>
        <v>0.16000000000000014</v>
      </c>
      <c r="AU63" s="1">
        <f>ROUND(IF($B63="NSW",L63*Meta!$B$6,L63),1)</f>
        <v>5320</v>
      </c>
      <c r="AV63" s="3">
        <f t="shared" si="25"/>
        <v>97866.8</v>
      </c>
    </row>
    <row r="64" spans="1:48" x14ac:dyDescent="0.55000000000000004">
      <c r="A64" s="2" t="s">
        <v>68</v>
      </c>
      <c r="B64" s="3" t="s">
        <v>9</v>
      </c>
      <c r="C64" s="4">
        <v>28.31</v>
      </c>
      <c r="D64" s="5">
        <v>52.67</v>
      </c>
      <c r="E64" s="5">
        <v>0</v>
      </c>
      <c r="F64" s="5">
        <v>1.96</v>
      </c>
      <c r="G64" s="5">
        <v>14.04</v>
      </c>
      <c r="H64" s="5">
        <v>3.02</v>
      </c>
      <c r="I64" s="4">
        <v>57.79</v>
      </c>
      <c r="J64" s="3">
        <v>42.21</v>
      </c>
      <c r="K64" s="4">
        <v>101580</v>
      </c>
      <c r="L64" s="5">
        <v>2244</v>
      </c>
      <c r="M64" s="3">
        <f t="shared" si="4"/>
        <v>99336</v>
      </c>
      <c r="N64" s="5">
        <f t="shared" si="5"/>
        <v>2.2090962787950384E-2</v>
      </c>
      <c r="O64" s="4">
        <f>ROUND($C64+MIN($D64:$E64)*(1-SUMIFS(PrefFlows!$C:$C,PrefFlows!$A:$A,INDEX($D$1:$E$1,MATCH(MIN($D64:$E64),$D64:$E64,0)),PrefFlows!$B:$B,$B64)),2)</f>
        <v>28.31</v>
      </c>
      <c r="P64" s="5">
        <f>ROUND(MAX($D64:$E64)+MIN($D64:$E64)*SUMIFS(PrefFlows!$C:$C,PrefFlows!$A:$A,INDEX($D$1:$E$1,MATCH(MIN($D64:$E64),$D64:$E64,0)),PrefFlows!$B:$B,$B64),2)</f>
        <v>52.67</v>
      </c>
      <c r="Q64" s="5">
        <f t="shared" si="26"/>
        <v>1.96</v>
      </c>
      <c r="R64" s="5">
        <f t="shared" si="27"/>
        <v>14.04</v>
      </c>
      <c r="S64" s="3">
        <f t="shared" si="8"/>
        <v>3.02</v>
      </c>
      <c r="T64" s="6">
        <f t="shared" si="9"/>
        <v>24.36</v>
      </c>
      <c r="U64" s="4">
        <f>ROUND($Q64*SUMIFS(PrefFlows!$C:$C,PrefFlows!$A:$A,$Q$1,PrefFlows!$B:$B,$B64)+$R64*SUMIFS(PrefFlows!$C:$C,PrefFlows!$A:$A,$R$1,PrefFlows!$B:$B,$B64)+$S64*SUMIFS(PrefFlows!$C:$C,PrefFlows!$A:$A,$S$1,PrefFlows!$B:$B,$B64),2)</f>
        <v>5.09</v>
      </c>
      <c r="V64" s="3">
        <f>ROUND($Q64*(1-SUMIFS(PrefFlows!$C:$C,PrefFlows!$A:$A,$Q$1,PrefFlows!$B:$B,$B64))+$R64*(1-SUMIFS(PrefFlows!$C:$C,PrefFlows!$A:$A,$R$1,PrefFlows!$B:$B,$B64))+$S64*(1-SUMIFS(PrefFlows!$C:$C,PrefFlows!$A:$A,$S$1,PrefFlows!$B:$B,$B64)),2)</f>
        <v>13.93</v>
      </c>
      <c r="W64" s="4">
        <f t="shared" si="10"/>
        <v>5.12</v>
      </c>
      <c r="X64" s="3">
        <f t="shared" si="11"/>
        <v>13.9</v>
      </c>
      <c r="Y64" s="4">
        <f t="shared" si="12"/>
        <v>0.2676</v>
      </c>
      <c r="Z64" s="5">
        <f t="shared" si="13"/>
        <v>0.26919999999999999</v>
      </c>
      <c r="AA64" s="5">
        <f t="shared" si="14"/>
        <v>1.6000000000000001E-3</v>
      </c>
      <c r="AB64" s="3">
        <v>-9.0114121745568099E-3</v>
      </c>
      <c r="AC64" s="4">
        <f>ROUND(Q64*(1-(Exhaust!$B$2+AB64)),2)</f>
        <v>0.88</v>
      </c>
      <c r="AD64" s="5">
        <f>ROUND(R64*(1-(Exhaust!$B$3+$AB64)),2)</f>
        <v>8.5500000000000007</v>
      </c>
      <c r="AE64" s="3">
        <f>ROUND(S64*(1-(Exhaust!$B$4+$AB64)),2)</f>
        <v>1.54</v>
      </c>
      <c r="AF64" s="4">
        <f>ROUND($AC64*(SUMIFS(PrefFlows!$C:$C,PrefFlows!$A:$A,$Q$1,PrefFlows!$B:$B,$B64)+$AA64)+$AD64*(SUMIFS(PrefFlows!$C:$C,PrefFlows!$A:$A,$R$1,PrefFlows!$B:$B,$B64)+$AA64)+$AE64*(SUMIFS(PrefFlows!$C:$C,PrefFlows!$A:$A,$S$1,PrefFlows!$B:$B,$B64)+$AA64),2)</f>
        <v>2.76</v>
      </c>
      <c r="AG64" s="3">
        <f>ROUND($AC64*(1-(SUMIFS(PrefFlows!$C:$C,PrefFlows!$A:$A,$Q$1,PrefFlows!$B:$B,$B64)+$AA64))+$AD64*(1-(SUMIFS(PrefFlows!$C:$C,PrefFlows!$A:$A,$R$1,PrefFlows!$B:$B,$B64)+$AA64))+$AE64*(1-(SUMIFS(PrefFlows!$C:$C,PrefFlows!$A:$A,$S$1,PrefFlows!$B:$B,$B64)+$AA64)),2)</f>
        <v>8.2100000000000009</v>
      </c>
      <c r="AH64" s="4">
        <f t="shared" si="15"/>
        <v>55.43</v>
      </c>
      <c r="AI64" s="3">
        <f t="shared" si="16"/>
        <v>36.520000000000003</v>
      </c>
      <c r="AJ64" s="4">
        <f t="shared" si="17"/>
        <v>60.28</v>
      </c>
      <c r="AK64" s="3">
        <f t="shared" si="17"/>
        <v>39.72</v>
      </c>
      <c r="AL64" s="1">
        <f t="shared" si="22"/>
        <v>7.79</v>
      </c>
      <c r="AM64" s="1">
        <f t="shared" si="23"/>
        <v>10.89</v>
      </c>
      <c r="AN64" s="3">
        <f t="shared" si="24"/>
        <v>10.28</v>
      </c>
      <c r="AO64" s="1" t="b">
        <f t="shared" si="18"/>
        <v>0</v>
      </c>
      <c r="AP64" s="1" t="b">
        <f t="shared" si="18"/>
        <v>0</v>
      </c>
      <c r="AQ64" s="3" t="b">
        <f t="shared" si="19"/>
        <v>0</v>
      </c>
      <c r="AR64" s="1">
        <f t="shared" si="20"/>
        <v>3.1000000000000005</v>
      </c>
      <c r="AS64" s="1">
        <f t="shared" si="20"/>
        <v>2.4899999999999993</v>
      </c>
      <c r="AT64" s="3">
        <f t="shared" si="21"/>
        <v>0.61000000000000121</v>
      </c>
      <c r="AU64" s="1">
        <f>ROUND(IF($B64="NSW",L64*Meta!$B$6,L64),1)</f>
        <v>2244</v>
      </c>
      <c r="AV64" s="3">
        <f t="shared" si="25"/>
        <v>99837.5</v>
      </c>
    </row>
    <row r="65" spans="1:48" x14ac:dyDescent="0.55000000000000004">
      <c r="A65" s="2" t="s">
        <v>69</v>
      </c>
      <c r="B65" s="3" t="s">
        <v>9</v>
      </c>
      <c r="C65" s="4">
        <v>50.08</v>
      </c>
      <c r="D65" s="5">
        <v>26.07</v>
      </c>
      <c r="E65" s="5">
        <v>0</v>
      </c>
      <c r="F65" s="5">
        <v>7.9</v>
      </c>
      <c r="G65" s="5">
        <v>7.11</v>
      </c>
      <c r="H65" s="5">
        <v>8.84</v>
      </c>
      <c r="I65" s="4">
        <v>34.64</v>
      </c>
      <c r="J65" s="3">
        <v>65.36</v>
      </c>
      <c r="K65" s="4">
        <v>100598</v>
      </c>
      <c r="L65" s="5">
        <v>5957</v>
      </c>
      <c r="M65" s="3">
        <f t="shared" si="4"/>
        <v>94641</v>
      </c>
      <c r="N65" s="5">
        <f t="shared" si="5"/>
        <v>5.9215888983876419E-2</v>
      </c>
      <c r="O65" s="4">
        <f>ROUND($C65+MIN($D65:$E65)*(1-SUMIFS(PrefFlows!$C:$C,PrefFlows!$A:$A,INDEX($D$1:$E$1,MATCH(MIN($D65:$E65),$D65:$E65,0)),PrefFlows!$B:$B,$B65)),2)</f>
        <v>50.08</v>
      </c>
      <c r="P65" s="5">
        <f>ROUND(MAX($D65:$E65)+MIN($D65:$E65)*SUMIFS(PrefFlows!$C:$C,PrefFlows!$A:$A,INDEX($D$1:$E$1,MATCH(MIN($D65:$E65),$D65:$E65,0)),PrefFlows!$B:$B,$B65),2)</f>
        <v>26.07</v>
      </c>
      <c r="Q65" s="5">
        <f t="shared" si="26"/>
        <v>7.9</v>
      </c>
      <c r="R65" s="5">
        <f t="shared" si="27"/>
        <v>7.11</v>
      </c>
      <c r="S65" s="3">
        <f t="shared" si="8"/>
        <v>8.84</v>
      </c>
      <c r="T65" s="6">
        <f t="shared" si="9"/>
        <v>-24.01</v>
      </c>
      <c r="U65" s="4">
        <f>ROUND($Q65*SUMIFS(PrefFlows!$C:$C,PrefFlows!$A:$A,$Q$1,PrefFlows!$B:$B,$B65)+$R65*SUMIFS(PrefFlows!$C:$C,PrefFlows!$A:$A,$R$1,PrefFlows!$B:$B,$B65)+$S65*SUMIFS(PrefFlows!$C:$C,PrefFlows!$A:$A,$S$1,PrefFlows!$B:$B,$B65),2)</f>
        <v>10.95</v>
      </c>
      <c r="V65" s="3">
        <f>ROUND($Q65*(1-SUMIFS(PrefFlows!$C:$C,PrefFlows!$A:$A,$Q$1,PrefFlows!$B:$B,$B65))+$R65*(1-SUMIFS(PrefFlows!$C:$C,PrefFlows!$A:$A,$R$1,PrefFlows!$B:$B,$B65))+$S65*(1-SUMIFS(PrefFlows!$C:$C,PrefFlows!$A:$A,$S$1,PrefFlows!$B:$B,$B65)),2)</f>
        <v>12.9</v>
      </c>
      <c r="W65" s="4">
        <f t="shared" si="10"/>
        <v>8.57</v>
      </c>
      <c r="X65" s="3">
        <f t="shared" si="11"/>
        <v>15.28</v>
      </c>
      <c r="Y65" s="4">
        <f t="shared" si="12"/>
        <v>0.45910000000000001</v>
      </c>
      <c r="Z65" s="5">
        <f t="shared" si="13"/>
        <v>0.35930000000000001</v>
      </c>
      <c r="AA65" s="5">
        <f t="shared" si="14"/>
        <v>-9.98E-2</v>
      </c>
      <c r="AB65" s="3">
        <v>7.9184341490989796E-2</v>
      </c>
      <c r="AC65" s="4">
        <f>ROUND(Q65*(1-(Exhaust!$B$2+AB65)),2)</f>
        <v>2.85</v>
      </c>
      <c r="AD65" s="5">
        <f>ROUND(R65*(1-(Exhaust!$B$3+$AB65)),2)</f>
        <v>3.7</v>
      </c>
      <c r="AE65" s="3">
        <f>ROUND(S65*(1-(Exhaust!$B$4+$AB65)),2)</f>
        <v>3.72</v>
      </c>
      <c r="AF65" s="4">
        <f>ROUND($AC65*(SUMIFS(PrefFlows!$C:$C,PrefFlows!$A:$A,$Q$1,PrefFlows!$B:$B,$B65)+$AA65)+$AD65*(SUMIFS(PrefFlows!$C:$C,PrefFlows!$A:$A,$R$1,PrefFlows!$B:$B,$B65)+$AA65)+$AE65*(SUMIFS(PrefFlows!$C:$C,PrefFlows!$A:$A,$S$1,PrefFlows!$B:$B,$B65)+$AA65),2)</f>
        <v>3.39</v>
      </c>
      <c r="AG65" s="3">
        <f>ROUND($AC65*(1-(SUMIFS(PrefFlows!$C:$C,PrefFlows!$A:$A,$Q$1,PrefFlows!$B:$B,$B65)+$AA65))+$AD65*(1-(SUMIFS(PrefFlows!$C:$C,PrefFlows!$A:$A,$R$1,PrefFlows!$B:$B,$B65)+$AA65))+$AE65*(1-(SUMIFS(PrefFlows!$C:$C,PrefFlows!$A:$A,$S$1,PrefFlows!$B:$B,$B65)+$AA65)),2)</f>
        <v>6.88</v>
      </c>
      <c r="AH65" s="4">
        <f t="shared" si="15"/>
        <v>29.46</v>
      </c>
      <c r="AI65" s="3">
        <f t="shared" si="16"/>
        <v>56.96</v>
      </c>
      <c r="AJ65" s="4">
        <f t="shared" si="17"/>
        <v>34.090000000000003</v>
      </c>
      <c r="AK65" s="3">
        <f t="shared" si="17"/>
        <v>65.91</v>
      </c>
      <c r="AL65" s="1">
        <f t="shared" si="22"/>
        <v>-15.36</v>
      </c>
      <c r="AM65" s="1">
        <f t="shared" si="23"/>
        <v>-15.53</v>
      </c>
      <c r="AN65" s="3">
        <f t="shared" si="24"/>
        <v>-15.91</v>
      </c>
      <c r="AO65" s="1" t="b">
        <f t="shared" si="18"/>
        <v>0</v>
      </c>
      <c r="AP65" s="1" t="b">
        <f t="shared" si="18"/>
        <v>0</v>
      </c>
      <c r="AQ65" s="3" t="b">
        <f t="shared" si="19"/>
        <v>0</v>
      </c>
      <c r="AR65" s="1">
        <f t="shared" si="20"/>
        <v>-0.16999999999999993</v>
      </c>
      <c r="AS65" s="1">
        <f t="shared" si="20"/>
        <v>-0.55000000000000071</v>
      </c>
      <c r="AT65" s="3">
        <f t="shared" si="21"/>
        <v>0.38000000000000078</v>
      </c>
      <c r="AU65" s="1">
        <f>ROUND(IF($B65="NSW",L65*Meta!$B$6,L65),1)</f>
        <v>5957</v>
      </c>
      <c r="AV65" s="3">
        <f t="shared" si="25"/>
        <v>95972.2</v>
      </c>
    </row>
    <row r="66" spans="1:48" x14ac:dyDescent="0.55000000000000004">
      <c r="A66" s="2" t="s">
        <v>70</v>
      </c>
      <c r="B66" s="3" t="s">
        <v>12</v>
      </c>
      <c r="C66" s="4">
        <v>50.86</v>
      </c>
      <c r="D66" s="5">
        <v>21.76</v>
      </c>
      <c r="E66" s="5">
        <v>0</v>
      </c>
      <c r="F66" s="5">
        <v>1.21</v>
      </c>
      <c r="G66" s="5">
        <v>22.55</v>
      </c>
      <c r="H66" s="5">
        <v>3.63</v>
      </c>
      <c r="I66" s="4">
        <v>26.17</v>
      </c>
      <c r="J66" s="3">
        <v>73.83</v>
      </c>
      <c r="K66" s="4">
        <v>100072</v>
      </c>
      <c r="L66" s="5">
        <v>4258</v>
      </c>
      <c r="M66" s="3">
        <f t="shared" si="4"/>
        <v>95814</v>
      </c>
      <c r="N66" s="5">
        <f t="shared" si="5"/>
        <v>4.2549364457590534E-2</v>
      </c>
      <c r="O66" s="4">
        <f>ROUND($C66+MIN($D66:$E66)*(1-SUMIFS(PrefFlows!$C:$C,PrefFlows!$A:$A,INDEX($D$1:$E$1,MATCH(MIN($D66:$E66),$D66:$E66,0)),PrefFlows!$B:$B,$B66)),2)</f>
        <v>50.86</v>
      </c>
      <c r="P66" s="5">
        <f>ROUND(MAX($D66:$E66)+MIN($D66:$E66)*SUMIFS(PrefFlows!$C:$C,PrefFlows!$A:$A,INDEX($D$1:$E$1,MATCH(MIN($D66:$E66),$D66:$E66,0)),PrefFlows!$B:$B,$B66),2)</f>
        <v>21.76</v>
      </c>
      <c r="Q66" s="5">
        <f t="shared" si="26"/>
        <v>1.21</v>
      </c>
      <c r="R66" s="5">
        <f t="shared" si="27"/>
        <v>22.55</v>
      </c>
      <c r="S66" s="3">
        <f t="shared" si="8"/>
        <v>3.63</v>
      </c>
      <c r="T66" s="6">
        <f t="shared" si="9"/>
        <v>-29.1</v>
      </c>
      <c r="U66" s="4">
        <f>ROUND($Q66*SUMIFS(PrefFlows!$C:$C,PrefFlows!$A:$A,$Q$1,PrefFlows!$B:$B,$B66)+$R66*SUMIFS(PrefFlows!$C:$C,PrefFlows!$A:$A,$R$1,PrefFlows!$B:$B,$B66)+$S66*SUMIFS(PrefFlows!$C:$C,PrefFlows!$A:$A,$S$1,PrefFlows!$B:$B,$B66),2)</f>
        <v>6.69</v>
      </c>
      <c r="V66" s="3">
        <f>ROUND($Q66*(1-SUMIFS(PrefFlows!$C:$C,PrefFlows!$A:$A,$Q$1,PrefFlows!$B:$B,$B66))+$R66*(1-SUMIFS(PrefFlows!$C:$C,PrefFlows!$A:$A,$R$1,PrefFlows!$B:$B,$B66))+$S66*(1-SUMIFS(PrefFlows!$C:$C,PrefFlows!$A:$A,$S$1,PrefFlows!$B:$B,$B66)),2)</f>
        <v>20.7</v>
      </c>
      <c r="W66" s="4">
        <f t="shared" si="10"/>
        <v>4.41</v>
      </c>
      <c r="X66" s="3">
        <f t="shared" si="11"/>
        <v>22.97</v>
      </c>
      <c r="Y66" s="4">
        <f t="shared" si="12"/>
        <v>0.2442</v>
      </c>
      <c r="Z66" s="5">
        <f t="shared" si="13"/>
        <v>0.16109999999999999</v>
      </c>
      <c r="AA66" s="5">
        <f t="shared" si="14"/>
        <v>-8.3099999999999993E-2</v>
      </c>
      <c r="AB66" s="3">
        <v>-3.8201377802939397E-2</v>
      </c>
      <c r="AC66" s="4">
        <f>ROUND(Q66*(1-(Exhaust!$B$2+AB66)),2)</f>
        <v>0.57999999999999996</v>
      </c>
      <c r="AD66" s="5">
        <f>ROUND(R66*(1-(Exhaust!$B$3+$AB66)),2)</f>
        <v>14.39</v>
      </c>
      <c r="AE66" s="3">
        <f>ROUND(S66*(1-(Exhaust!$B$4+$AB66)),2)</f>
        <v>1.95</v>
      </c>
      <c r="AF66" s="4">
        <f>ROUND($AC66*(SUMIFS(PrefFlows!$C:$C,PrefFlows!$A:$A,$Q$1,PrefFlows!$B:$B,$B66)+$AA66)+$AD66*(SUMIFS(PrefFlows!$C:$C,PrefFlows!$A:$A,$R$1,PrefFlows!$B:$B,$B66)+$AA66)+$AE66*(SUMIFS(PrefFlows!$C:$C,PrefFlows!$A:$A,$S$1,PrefFlows!$B:$B,$B66)+$AA66),2)</f>
        <v>2.5499999999999998</v>
      </c>
      <c r="AG66" s="3">
        <f>ROUND($AC66*(1-(SUMIFS(PrefFlows!$C:$C,PrefFlows!$A:$A,$Q$1,PrefFlows!$B:$B,$B66)+$AA66))+$AD66*(1-(SUMIFS(PrefFlows!$C:$C,PrefFlows!$A:$A,$R$1,PrefFlows!$B:$B,$B66)+$AA66))+$AE66*(1-(SUMIFS(PrefFlows!$C:$C,PrefFlows!$A:$A,$S$1,PrefFlows!$B:$B,$B66)+$AA66)),2)</f>
        <v>14.37</v>
      </c>
      <c r="AH66" s="4">
        <f t="shared" si="15"/>
        <v>24.31</v>
      </c>
      <c r="AI66" s="3">
        <f t="shared" si="16"/>
        <v>65.23</v>
      </c>
      <c r="AJ66" s="4">
        <f t="shared" si="17"/>
        <v>27.15</v>
      </c>
      <c r="AK66" s="3">
        <f t="shared" si="17"/>
        <v>72.849999999999994</v>
      </c>
      <c r="AL66" s="1">
        <f t="shared" ref="AL66:AL97" si="28">ROUND(I66-50,2)</f>
        <v>-23.83</v>
      </c>
      <c r="AM66" s="1">
        <f t="shared" ref="AM66:AM97" si="29">ROUND((P66+W66*0.52)/((P66+W66*0.52)+(O66+X66*0.52))*100-50,2)</f>
        <v>-22.31</v>
      </c>
      <c r="AN66" s="3">
        <f t="shared" ref="AN66:AN97" si="30">ROUND(AJ66-50,2)</f>
        <v>-22.85</v>
      </c>
      <c r="AO66" s="1" t="b">
        <f t="shared" si="18"/>
        <v>0</v>
      </c>
      <c r="AP66" s="1" t="b">
        <f t="shared" si="18"/>
        <v>0</v>
      </c>
      <c r="AQ66" s="3" t="b">
        <f t="shared" si="19"/>
        <v>0</v>
      </c>
      <c r="AR66" s="1">
        <f t="shared" si="20"/>
        <v>1.5199999999999996</v>
      </c>
      <c r="AS66" s="1">
        <f t="shared" si="20"/>
        <v>0.97999999999999687</v>
      </c>
      <c r="AT66" s="3">
        <f t="shared" si="21"/>
        <v>0.5400000000000027</v>
      </c>
      <c r="AU66" s="1">
        <f>ROUND(IF($B66="NSW",L66*Meta!$B$6,L66),1)</f>
        <v>2831.6</v>
      </c>
      <c r="AV66" s="3">
        <f t="shared" ref="AV66:AV97" si="31">ROUND((K66-AU66*($AU$154/$AU$153))*SUM($AJ66:$AK66)/100,1)</f>
        <v>97873.2</v>
      </c>
    </row>
    <row r="67" spans="1:48" x14ac:dyDescent="0.55000000000000004">
      <c r="A67" s="2" t="s">
        <v>71</v>
      </c>
      <c r="B67" s="3" t="s">
        <v>12</v>
      </c>
      <c r="C67" s="4">
        <v>45.97</v>
      </c>
      <c r="D67" s="5">
        <v>40.58</v>
      </c>
      <c r="E67" s="5">
        <v>0</v>
      </c>
      <c r="F67" s="5">
        <v>2.99</v>
      </c>
      <c r="G67" s="5">
        <v>5.5</v>
      </c>
      <c r="H67" s="5">
        <v>4.96</v>
      </c>
      <c r="I67" s="4">
        <v>47.2</v>
      </c>
      <c r="J67" s="3">
        <v>52.8</v>
      </c>
      <c r="K67" s="4">
        <v>102432</v>
      </c>
      <c r="L67" s="5">
        <v>6925</v>
      </c>
      <c r="M67" s="3">
        <f t="shared" ref="M67:M130" si="32">ROUND(K67-L67,0)</f>
        <v>95507</v>
      </c>
      <c r="N67" s="5">
        <f t="shared" ref="N67:N130" si="33">L67/K67</f>
        <v>6.7605826304279915E-2</v>
      </c>
      <c r="O67" s="4">
        <f>ROUND($C67+MIN($D67:$E67)*(1-SUMIFS(PrefFlows!$C:$C,PrefFlows!$A:$A,INDEX($D$1:$E$1,MATCH(MIN($D67:$E67),$D67:$E67,0)),PrefFlows!$B:$B,$B67)),2)</f>
        <v>45.97</v>
      </c>
      <c r="P67" s="5">
        <f>ROUND(MAX($D67:$E67)+MIN($D67:$E67)*SUMIFS(PrefFlows!$C:$C,PrefFlows!$A:$A,INDEX($D$1:$E$1,MATCH(MIN($D67:$E67),$D67:$E67,0)),PrefFlows!$B:$B,$B67),2)</f>
        <v>40.58</v>
      </c>
      <c r="Q67" s="5">
        <f t="shared" ref="Q67:Q98" si="34">ROUND(F67,2)</f>
        <v>2.99</v>
      </c>
      <c r="R67" s="5">
        <f t="shared" ref="R67:R98" si="35">ROUND(G67,2)</f>
        <v>5.5</v>
      </c>
      <c r="S67" s="3">
        <f t="shared" ref="S67:S130" si="36">ROUND(H67,2)</f>
        <v>4.96</v>
      </c>
      <c r="T67" s="6">
        <f t="shared" ref="T67:T130" si="37">ROUND(P67-O67,2)</f>
        <v>-5.39</v>
      </c>
      <c r="U67" s="4">
        <f>ROUND($Q67*SUMIFS(PrefFlows!$C:$C,PrefFlows!$A:$A,$Q$1,PrefFlows!$B:$B,$B67)+$R67*SUMIFS(PrefFlows!$C:$C,PrefFlows!$A:$A,$R$1,PrefFlows!$B:$B,$B67)+$S67*SUMIFS(PrefFlows!$C:$C,PrefFlows!$A:$A,$S$1,PrefFlows!$B:$B,$B67),2)</f>
        <v>5.49</v>
      </c>
      <c r="V67" s="3">
        <f>ROUND($Q67*(1-SUMIFS(PrefFlows!$C:$C,PrefFlows!$A:$A,$Q$1,PrefFlows!$B:$B,$B67))+$R67*(1-SUMIFS(PrefFlows!$C:$C,PrefFlows!$A:$A,$R$1,PrefFlows!$B:$B,$B67))+$S67*(1-SUMIFS(PrefFlows!$C:$C,PrefFlows!$A:$A,$S$1,PrefFlows!$B:$B,$B67)),2)</f>
        <v>7.96</v>
      </c>
      <c r="W67" s="4">
        <f t="shared" ref="W67:W130" si="38">ROUND(I67-P67,2)</f>
        <v>6.62</v>
      </c>
      <c r="X67" s="3">
        <f t="shared" ref="X67:X130" si="39">ROUND(J67-O67,2)</f>
        <v>6.83</v>
      </c>
      <c r="Y67" s="4">
        <f t="shared" ref="Y67:Y130" si="40">ROUND(U67/SUM(U67:V67),4)</f>
        <v>0.40820000000000001</v>
      </c>
      <c r="Z67" s="5">
        <f t="shared" ref="Z67:Z130" si="41">ROUND(W67/SUM(W67:X67),4)</f>
        <v>0.49220000000000003</v>
      </c>
      <c r="AA67" s="5">
        <f t="shared" ref="AA67:AA130" si="42">ROUND(Z67-Y67,4)</f>
        <v>8.4000000000000005E-2</v>
      </c>
      <c r="AB67" s="3">
        <v>3.5505303411530999E-2</v>
      </c>
      <c r="AC67" s="4">
        <f>ROUND(Q67*(1-(Exhaust!$B$2+AB67)),2)</f>
        <v>1.21</v>
      </c>
      <c r="AD67" s="5">
        <f>ROUND(R67*(1-(Exhaust!$B$3+$AB67)),2)</f>
        <v>3.1</v>
      </c>
      <c r="AE67" s="3">
        <f>ROUND(S67*(1-(Exhaust!$B$4+$AB67)),2)</f>
        <v>2.2999999999999998</v>
      </c>
      <c r="AF67" s="4">
        <f>ROUND($AC67*(SUMIFS(PrefFlows!$C:$C,PrefFlows!$A:$A,$Q$1,PrefFlows!$B:$B,$B67)+$AA67)+$AD67*(SUMIFS(PrefFlows!$C:$C,PrefFlows!$A:$A,$R$1,PrefFlows!$B:$B,$B67)+$AA67)+$AE67*(SUMIFS(PrefFlows!$C:$C,PrefFlows!$A:$A,$S$1,PrefFlows!$B:$B,$B67)+$AA67),2)</f>
        <v>3.09</v>
      </c>
      <c r="AG67" s="3">
        <f>ROUND($AC67*(1-(SUMIFS(PrefFlows!$C:$C,PrefFlows!$A:$A,$Q$1,PrefFlows!$B:$B,$B67)+$AA67))+$AD67*(1-(SUMIFS(PrefFlows!$C:$C,PrefFlows!$A:$A,$R$1,PrefFlows!$B:$B,$B67)+$AA67))+$AE67*(1-(SUMIFS(PrefFlows!$C:$C,PrefFlows!$A:$A,$S$1,PrefFlows!$B:$B,$B67)+$AA67)),2)</f>
        <v>3.52</v>
      </c>
      <c r="AH67" s="4">
        <f t="shared" ref="AH67:AH130" si="43">ROUND(P67+AF67,2)</f>
        <v>43.67</v>
      </c>
      <c r="AI67" s="3">
        <f t="shared" ref="AI67:AI130" si="44">ROUND(O67+AG67,2)</f>
        <v>49.49</v>
      </c>
      <c r="AJ67" s="4">
        <f t="shared" ref="AJ67:AK130" si="45">ROUND(AH67/SUM($AH67:$AI67)*100,2)</f>
        <v>46.88</v>
      </c>
      <c r="AK67" s="3">
        <f t="shared" si="45"/>
        <v>53.12</v>
      </c>
      <c r="AL67" s="1">
        <f t="shared" si="28"/>
        <v>-2.8</v>
      </c>
      <c r="AM67" s="1">
        <f t="shared" si="29"/>
        <v>-2.94</v>
      </c>
      <c r="AN67" s="3">
        <f t="shared" si="30"/>
        <v>-3.12</v>
      </c>
      <c r="AO67" s="1" t="b">
        <f t="shared" ref="AO67:AP130" si="46">$AL67/AM67&lt;0</f>
        <v>0</v>
      </c>
      <c r="AP67" s="1" t="b">
        <f t="shared" si="46"/>
        <v>0</v>
      </c>
      <c r="AQ67" s="3" t="b">
        <f t="shared" ref="AQ67:AQ130" si="47">AM67/AN67&lt;0</f>
        <v>0</v>
      </c>
      <c r="AR67" s="1">
        <f t="shared" ref="AR67:AS130" si="48">(AM67-$AL67)</f>
        <v>-0.14000000000000012</v>
      </c>
      <c r="AS67" s="1">
        <f t="shared" si="48"/>
        <v>-0.32000000000000028</v>
      </c>
      <c r="AT67" s="3">
        <f t="shared" ref="AT67:AT130" si="49">ABS(AN67-$AM67)</f>
        <v>0.18000000000000016</v>
      </c>
      <c r="AU67" s="1">
        <f>ROUND(IF($B67="NSW",L67*Meta!$B$6,L67),1)</f>
        <v>4605.1000000000004</v>
      </c>
      <c r="AV67" s="3">
        <f t="shared" si="31"/>
        <v>98856</v>
      </c>
    </row>
    <row r="68" spans="1:48" x14ac:dyDescent="0.55000000000000004">
      <c r="A68" s="2" t="s">
        <v>72</v>
      </c>
      <c r="B68" s="3" t="s">
        <v>7</v>
      </c>
      <c r="C68" s="4">
        <v>22.83</v>
      </c>
      <c r="D68" s="5">
        <v>50.65</v>
      </c>
      <c r="E68" s="5">
        <v>0</v>
      </c>
      <c r="F68" s="5">
        <v>12.45</v>
      </c>
      <c r="G68" s="5">
        <v>4.5999999999999996</v>
      </c>
      <c r="H68" s="5">
        <v>9.48</v>
      </c>
      <c r="I68" s="4">
        <v>63.32</v>
      </c>
      <c r="J68" s="3">
        <v>36.68</v>
      </c>
      <c r="K68" s="4">
        <v>111131</v>
      </c>
      <c r="L68" s="5">
        <v>7684</v>
      </c>
      <c r="M68" s="3">
        <f t="shared" si="32"/>
        <v>103447</v>
      </c>
      <c r="N68" s="5">
        <f t="shared" si="33"/>
        <v>6.9143623291430839E-2</v>
      </c>
      <c r="O68" s="4">
        <f>ROUND($C68+MIN($D68:$E68)*(1-SUMIFS(PrefFlows!$C:$C,PrefFlows!$A:$A,INDEX($D$1:$E$1,MATCH(MIN($D68:$E68),$D68:$E68,0)),PrefFlows!$B:$B,$B68)),2)</f>
        <v>22.83</v>
      </c>
      <c r="P68" s="5">
        <f>ROUND(MAX($D68:$E68)+MIN($D68:$E68)*SUMIFS(PrefFlows!$C:$C,PrefFlows!$A:$A,INDEX($D$1:$E$1,MATCH(MIN($D68:$E68),$D68:$E68,0)),PrefFlows!$B:$B,$B68),2)</f>
        <v>50.65</v>
      </c>
      <c r="Q68" s="5">
        <f t="shared" si="34"/>
        <v>12.45</v>
      </c>
      <c r="R68" s="5">
        <f t="shared" si="35"/>
        <v>4.5999999999999996</v>
      </c>
      <c r="S68" s="3">
        <f t="shared" si="36"/>
        <v>9.48</v>
      </c>
      <c r="T68" s="6">
        <f t="shared" si="37"/>
        <v>27.82</v>
      </c>
      <c r="U68" s="4">
        <f>ROUND($Q68*SUMIFS(PrefFlows!$C:$C,PrefFlows!$A:$A,$Q$1,PrefFlows!$B:$B,$B68)+$R68*SUMIFS(PrefFlows!$C:$C,PrefFlows!$A:$A,$R$1,PrefFlows!$B:$B,$B68)+$S68*SUMIFS(PrefFlows!$C:$C,PrefFlows!$A:$A,$S$1,PrefFlows!$B:$B,$B68),2)</f>
        <v>13.8</v>
      </c>
      <c r="V68" s="3">
        <f>ROUND($Q68*(1-SUMIFS(PrefFlows!$C:$C,PrefFlows!$A:$A,$Q$1,PrefFlows!$B:$B,$B68))+$R68*(1-SUMIFS(PrefFlows!$C:$C,PrefFlows!$A:$A,$R$1,PrefFlows!$B:$B,$B68))+$S68*(1-SUMIFS(PrefFlows!$C:$C,PrefFlows!$A:$A,$S$1,PrefFlows!$B:$B,$B68)),2)</f>
        <v>12.73</v>
      </c>
      <c r="W68" s="4">
        <f t="shared" si="38"/>
        <v>12.67</v>
      </c>
      <c r="X68" s="3">
        <f t="shared" si="39"/>
        <v>13.85</v>
      </c>
      <c r="Y68" s="4">
        <f t="shared" si="40"/>
        <v>0.5202</v>
      </c>
      <c r="Z68" s="5">
        <f t="shared" si="41"/>
        <v>0.4778</v>
      </c>
      <c r="AA68" s="5">
        <f t="shared" si="42"/>
        <v>-4.24E-2</v>
      </c>
      <c r="AB68" s="3">
        <v>4.8294977734883997E-2</v>
      </c>
      <c r="AC68" s="4">
        <f>ROUND(Q68*(1-(Exhaust!$B$2+AB68)),2)</f>
        <v>4.88</v>
      </c>
      <c r="AD68" s="5">
        <f>ROUND(R68*(1-(Exhaust!$B$3+$AB68)),2)</f>
        <v>2.54</v>
      </c>
      <c r="AE68" s="3">
        <f>ROUND(S68*(1-(Exhaust!$B$4+$AB68)),2)</f>
        <v>4.28</v>
      </c>
      <c r="AF68" s="4">
        <f>ROUND($AC68*(SUMIFS(PrefFlows!$C:$C,PrefFlows!$A:$A,$Q$1,PrefFlows!$B:$B,$B68)+$AA68)+$AD68*(SUMIFS(PrefFlows!$C:$C,PrefFlows!$A:$A,$R$1,PrefFlows!$B:$B,$B68)+$AA68)+$AE68*(SUMIFS(PrefFlows!$C:$C,PrefFlows!$A:$A,$S$1,PrefFlows!$B:$B,$B68)+$AA68),2)</f>
        <v>5.36</v>
      </c>
      <c r="AG68" s="3">
        <f>ROUND($AC68*(1-(SUMIFS(PrefFlows!$C:$C,PrefFlows!$A:$A,$Q$1,PrefFlows!$B:$B,$B68)+$AA68))+$AD68*(1-(SUMIFS(PrefFlows!$C:$C,PrefFlows!$A:$A,$R$1,PrefFlows!$B:$B,$B68)+$AA68))+$AE68*(1-(SUMIFS(PrefFlows!$C:$C,PrefFlows!$A:$A,$S$1,PrefFlows!$B:$B,$B68)+$AA68)),2)</f>
        <v>6.34</v>
      </c>
      <c r="AH68" s="4">
        <f t="shared" si="43"/>
        <v>56.01</v>
      </c>
      <c r="AI68" s="3">
        <f t="shared" si="44"/>
        <v>29.17</v>
      </c>
      <c r="AJ68" s="4">
        <f t="shared" si="45"/>
        <v>65.75</v>
      </c>
      <c r="AK68" s="3">
        <f t="shared" si="45"/>
        <v>34.25</v>
      </c>
      <c r="AL68" s="1">
        <f t="shared" si="28"/>
        <v>13.32</v>
      </c>
      <c r="AM68" s="1">
        <f t="shared" si="29"/>
        <v>15.59</v>
      </c>
      <c r="AN68" s="3">
        <f t="shared" si="30"/>
        <v>15.75</v>
      </c>
      <c r="AO68" s="1" t="b">
        <f t="shared" si="46"/>
        <v>0</v>
      </c>
      <c r="AP68" s="1" t="b">
        <f t="shared" si="46"/>
        <v>0</v>
      </c>
      <c r="AQ68" s="3" t="b">
        <f t="shared" si="47"/>
        <v>0</v>
      </c>
      <c r="AR68" s="1">
        <f t="shared" si="48"/>
        <v>2.2699999999999996</v>
      </c>
      <c r="AS68" s="1">
        <f t="shared" si="48"/>
        <v>2.4299999999999997</v>
      </c>
      <c r="AT68" s="3">
        <f t="shared" si="49"/>
        <v>0.16000000000000014</v>
      </c>
      <c r="AU68" s="1">
        <f>ROUND(IF($B68="NSW",L68*Meta!$B$6,L68),1)</f>
        <v>7684</v>
      </c>
      <c r="AV68" s="3">
        <f t="shared" si="31"/>
        <v>105164.1</v>
      </c>
    </row>
    <row r="69" spans="1:48" x14ac:dyDescent="0.55000000000000004">
      <c r="A69" s="2" t="s">
        <v>73</v>
      </c>
      <c r="B69" s="3" t="s">
        <v>21</v>
      </c>
      <c r="C69" s="4">
        <v>30.95</v>
      </c>
      <c r="D69" s="5">
        <v>40.97</v>
      </c>
      <c r="E69" s="5">
        <v>0</v>
      </c>
      <c r="F69" s="5">
        <v>3.57</v>
      </c>
      <c r="G69" s="5">
        <v>23.65</v>
      </c>
      <c r="H69" s="5">
        <v>0.85</v>
      </c>
      <c r="I69" s="4">
        <v>47.14</v>
      </c>
      <c r="J69" s="3">
        <v>52.86</v>
      </c>
      <c r="K69" s="4">
        <v>101919</v>
      </c>
      <c r="L69" s="5">
        <v>2302</v>
      </c>
      <c r="M69" s="3">
        <f t="shared" si="32"/>
        <v>99617</v>
      </c>
      <c r="N69" s="5">
        <f t="shared" si="33"/>
        <v>2.2586563839912088E-2</v>
      </c>
      <c r="O69" s="4">
        <f>ROUND($C69+MIN($D69:$E69)*(1-SUMIFS(PrefFlows!$C:$C,PrefFlows!$A:$A,INDEX($D$1:$E$1,MATCH(MIN($D69:$E69),$D69:$E69,0)),PrefFlows!$B:$B,$B69)),2)</f>
        <v>30.95</v>
      </c>
      <c r="P69" s="5">
        <f>ROUND(MAX($D69:$E69)+MIN($D69:$E69)*SUMIFS(PrefFlows!$C:$C,PrefFlows!$A:$A,INDEX($D$1:$E$1,MATCH(MIN($D69:$E69),$D69:$E69,0)),PrefFlows!$B:$B,$B69),2)</f>
        <v>40.97</v>
      </c>
      <c r="Q69" s="5">
        <f t="shared" si="34"/>
        <v>3.57</v>
      </c>
      <c r="R69" s="5">
        <f t="shared" si="35"/>
        <v>23.65</v>
      </c>
      <c r="S69" s="3">
        <f t="shared" si="36"/>
        <v>0.85</v>
      </c>
      <c r="T69" s="6">
        <f t="shared" si="37"/>
        <v>10.02</v>
      </c>
      <c r="U69" s="4">
        <f>ROUND($Q69*SUMIFS(PrefFlows!$C:$C,PrefFlows!$A:$A,$Q$1,PrefFlows!$B:$B,$B69)+$R69*SUMIFS(PrefFlows!$C:$C,PrefFlows!$A:$A,$R$1,PrefFlows!$B:$B,$B69)+$S69*SUMIFS(PrefFlows!$C:$C,PrefFlows!$A:$A,$S$1,PrefFlows!$B:$B,$B69),2)</f>
        <v>7.68</v>
      </c>
      <c r="V69" s="3">
        <f>ROUND($Q69*(1-SUMIFS(PrefFlows!$C:$C,PrefFlows!$A:$A,$Q$1,PrefFlows!$B:$B,$B69))+$R69*(1-SUMIFS(PrefFlows!$C:$C,PrefFlows!$A:$A,$R$1,PrefFlows!$B:$B,$B69))+$S69*(1-SUMIFS(PrefFlows!$C:$C,PrefFlows!$A:$A,$S$1,PrefFlows!$B:$B,$B69)),2)</f>
        <v>20.39</v>
      </c>
      <c r="W69" s="4">
        <f t="shared" si="38"/>
        <v>6.17</v>
      </c>
      <c r="X69" s="3">
        <f t="shared" si="39"/>
        <v>21.91</v>
      </c>
      <c r="Y69" s="4">
        <f t="shared" si="40"/>
        <v>0.27360000000000001</v>
      </c>
      <c r="Z69" s="5">
        <f t="shared" si="41"/>
        <v>0.21970000000000001</v>
      </c>
      <c r="AA69" s="5">
        <f t="shared" si="42"/>
        <v>-5.3900000000000003E-2</v>
      </c>
      <c r="AB69" s="3">
        <v>-3.1051273507551401E-2</v>
      </c>
      <c r="AC69" s="4">
        <f>ROUND(Q69*(1-(Exhaust!$B$2+AB69)),2)</f>
        <v>1.68</v>
      </c>
      <c r="AD69" s="5">
        <f>ROUND(R69*(1-(Exhaust!$B$3+$AB69)),2)</f>
        <v>14.92</v>
      </c>
      <c r="AE69" s="3">
        <f>ROUND(S69*(1-(Exhaust!$B$4+$AB69)),2)</f>
        <v>0.45</v>
      </c>
      <c r="AF69" s="4">
        <f>ROUND($AC69*(SUMIFS(PrefFlows!$C:$C,PrefFlows!$A:$A,$Q$1,PrefFlows!$B:$B,$B69)+$AA69)+$AD69*(SUMIFS(PrefFlows!$C:$C,PrefFlows!$A:$A,$R$1,PrefFlows!$B:$B,$B69)+$AA69)+$AE69*(SUMIFS(PrefFlows!$C:$C,PrefFlows!$A:$A,$S$1,PrefFlows!$B:$B,$B69)+$AA69),2)</f>
        <v>3.5</v>
      </c>
      <c r="AG69" s="3">
        <f>ROUND($AC69*(1-(SUMIFS(PrefFlows!$C:$C,PrefFlows!$A:$A,$Q$1,PrefFlows!$B:$B,$B69)+$AA69))+$AD69*(1-(SUMIFS(PrefFlows!$C:$C,PrefFlows!$A:$A,$R$1,PrefFlows!$B:$B,$B69)+$AA69))+$AE69*(1-(SUMIFS(PrefFlows!$C:$C,PrefFlows!$A:$A,$S$1,PrefFlows!$B:$B,$B69)+$AA69)),2)</f>
        <v>13.55</v>
      </c>
      <c r="AH69" s="4">
        <f t="shared" si="43"/>
        <v>44.47</v>
      </c>
      <c r="AI69" s="3">
        <f t="shared" si="44"/>
        <v>44.5</v>
      </c>
      <c r="AJ69" s="4">
        <f t="shared" si="45"/>
        <v>49.98</v>
      </c>
      <c r="AK69" s="3">
        <f t="shared" si="45"/>
        <v>50.02</v>
      </c>
      <c r="AL69" s="1">
        <f t="shared" si="28"/>
        <v>-2.86</v>
      </c>
      <c r="AM69" s="1">
        <f t="shared" si="29"/>
        <v>1.06</v>
      </c>
      <c r="AN69" s="3">
        <f t="shared" si="30"/>
        <v>-0.02</v>
      </c>
      <c r="AO69" s="1" t="b">
        <f t="shared" si="46"/>
        <v>1</v>
      </c>
      <c r="AP69" s="1" t="b">
        <f t="shared" si="46"/>
        <v>0</v>
      </c>
      <c r="AQ69" s="3" t="b">
        <f t="shared" si="47"/>
        <v>1</v>
      </c>
      <c r="AR69" s="1">
        <f t="shared" si="48"/>
        <v>3.92</v>
      </c>
      <c r="AS69" s="1">
        <f t="shared" si="48"/>
        <v>2.84</v>
      </c>
      <c r="AT69" s="3">
        <f t="shared" si="49"/>
        <v>1.08</v>
      </c>
      <c r="AU69" s="1">
        <f>ROUND(IF($B69="NSW",L69*Meta!$B$6,L69),1)</f>
        <v>2302</v>
      </c>
      <c r="AV69" s="3">
        <f t="shared" si="31"/>
        <v>100131.4</v>
      </c>
    </row>
    <row r="70" spans="1:48" x14ac:dyDescent="0.55000000000000004">
      <c r="A70" s="2" t="s">
        <v>74</v>
      </c>
      <c r="B70" s="3" t="s">
        <v>21</v>
      </c>
      <c r="C70" s="4">
        <v>18.66</v>
      </c>
      <c r="D70" s="5">
        <v>53.34</v>
      </c>
      <c r="E70" s="5">
        <v>0</v>
      </c>
      <c r="F70" s="5">
        <v>17.05</v>
      </c>
      <c r="G70" s="5">
        <v>7.96</v>
      </c>
      <c r="H70" s="5">
        <v>2.99</v>
      </c>
      <c r="I70" s="4">
        <v>70.48</v>
      </c>
      <c r="J70" s="3">
        <v>29.52</v>
      </c>
      <c r="K70" s="4">
        <v>98608</v>
      </c>
      <c r="L70" s="5">
        <v>3160</v>
      </c>
      <c r="M70" s="3">
        <f t="shared" si="32"/>
        <v>95448</v>
      </c>
      <c r="N70" s="5">
        <f t="shared" si="33"/>
        <v>3.2046081453837416E-2</v>
      </c>
      <c r="O70" s="4">
        <f>ROUND($C70+MIN($D70:$E70)*(1-SUMIFS(PrefFlows!$C:$C,PrefFlows!$A:$A,INDEX($D$1:$E$1,MATCH(MIN($D70:$E70),$D70:$E70,0)),PrefFlows!$B:$B,$B70)),2)</f>
        <v>18.66</v>
      </c>
      <c r="P70" s="5">
        <f>ROUND(MAX($D70:$E70)+MIN($D70:$E70)*SUMIFS(PrefFlows!$C:$C,PrefFlows!$A:$A,INDEX($D$1:$E$1,MATCH(MIN($D70:$E70),$D70:$E70,0)),PrefFlows!$B:$B,$B70),2)</f>
        <v>53.34</v>
      </c>
      <c r="Q70" s="5">
        <f t="shared" si="34"/>
        <v>17.05</v>
      </c>
      <c r="R70" s="5">
        <f t="shared" si="35"/>
        <v>7.96</v>
      </c>
      <c r="S70" s="3">
        <f t="shared" si="36"/>
        <v>2.99</v>
      </c>
      <c r="T70" s="6">
        <f t="shared" si="37"/>
        <v>34.68</v>
      </c>
      <c r="U70" s="4">
        <f>ROUND($Q70*SUMIFS(PrefFlows!$C:$C,PrefFlows!$A:$A,$Q$1,PrefFlows!$B:$B,$B70)+$R70*SUMIFS(PrefFlows!$C:$C,PrefFlows!$A:$A,$R$1,PrefFlows!$B:$B,$B70)+$S70*SUMIFS(PrefFlows!$C:$C,PrefFlows!$A:$A,$S$1,PrefFlows!$B:$B,$B70),2)</f>
        <v>14.66</v>
      </c>
      <c r="V70" s="3">
        <f>ROUND($Q70*(1-SUMIFS(PrefFlows!$C:$C,PrefFlows!$A:$A,$Q$1,PrefFlows!$B:$B,$B70))+$R70*(1-SUMIFS(PrefFlows!$C:$C,PrefFlows!$A:$A,$R$1,PrefFlows!$B:$B,$B70))+$S70*(1-SUMIFS(PrefFlows!$C:$C,PrefFlows!$A:$A,$S$1,PrefFlows!$B:$B,$B70)),2)</f>
        <v>13.34</v>
      </c>
      <c r="W70" s="4">
        <f t="shared" si="38"/>
        <v>17.14</v>
      </c>
      <c r="X70" s="3">
        <f t="shared" si="39"/>
        <v>10.86</v>
      </c>
      <c r="Y70" s="4">
        <f t="shared" si="40"/>
        <v>0.52359999999999995</v>
      </c>
      <c r="Z70" s="5">
        <f t="shared" si="41"/>
        <v>0.61209999999999998</v>
      </c>
      <c r="AA70" s="5">
        <f t="shared" si="42"/>
        <v>8.8499999999999995E-2</v>
      </c>
      <c r="AB70" s="3">
        <v>1.16203295064541E-2</v>
      </c>
      <c r="AC70" s="4">
        <f>ROUND(Q70*(1-(Exhaust!$B$2+AB70)),2)</f>
        <v>7.3</v>
      </c>
      <c r="AD70" s="5">
        <f>ROUND(R70*(1-(Exhaust!$B$3+$AB70)),2)</f>
        <v>4.68</v>
      </c>
      <c r="AE70" s="3">
        <f>ROUND(S70*(1-(Exhaust!$B$4+$AB70)),2)</f>
        <v>1.46</v>
      </c>
      <c r="AF70" s="4">
        <f>ROUND($AC70*(SUMIFS(PrefFlows!$C:$C,PrefFlows!$A:$A,$Q$1,PrefFlows!$B:$B,$B70)+$AA70)+$AD70*(SUMIFS(PrefFlows!$C:$C,PrefFlows!$A:$A,$R$1,PrefFlows!$B:$B,$B70)+$AA70)+$AE70*(SUMIFS(PrefFlows!$C:$C,PrefFlows!$A:$A,$S$1,PrefFlows!$B:$B,$B70)+$AA70),2)</f>
        <v>7.82</v>
      </c>
      <c r="AG70" s="3">
        <f>ROUND($AC70*(1-(SUMIFS(PrefFlows!$C:$C,PrefFlows!$A:$A,$Q$1,PrefFlows!$B:$B,$B70)+$AA70))+$AD70*(1-(SUMIFS(PrefFlows!$C:$C,PrefFlows!$A:$A,$R$1,PrefFlows!$B:$B,$B70)+$AA70))+$AE70*(1-(SUMIFS(PrefFlows!$C:$C,PrefFlows!$A:$A,$S$1,PrefFlows!$B:$B,$B70)+$AA70)),2)</f>
        <v>5.62</v>
      </c>
      <c r="AH70" s="4">
        <f t="shared" si="43"/>
        <v>61.16</v>
      </c>
      <c r="AI70" s="3">
        <f t="shared" si="44"/>
        <v>24.28</v>
      </c>
      <c r="AJ70" s="4">
        <f t="shared" si="45"/>
        <v>71.58</v>
      </c>
      <c r="AK70" s="3">
        <f t="shared" si="45"/>
        <v>28.42</v>
      </c>
      <c r="AL70" s="1">
        <f t="shared" si="28"/>
        <v>20.48</v>
      </c>
      <c r="AM70" s="1">
        <f t="shared" si="29"/>
        <v>21.92</v>
      </c>
      <c r="AN70" s="3">
        <f t="shared" si="30"/>
        <v>21.58</v>
      </c>
      <c r="AO70" s="1" t="b">
        <f t="shared" si="46"/>
        <v>0</v>
      </c>
      <c r="AP70" s="1" t="b">
        <f t="shared" si="46"/>
        <v>0</v>
      </c>
      <c r="AQ70" s="3" t="b">
        <f t="shared" si="47"/>
        <v>0</v>
      </c>
      <c r="AR70" s="1">
        <f t="shared" si="48"/>
        <v>1.4400000000000013</v>
      </c>
      <c r="AS70" s="1">
        <f t="shared" si="48"/>
        <v>1.0999999999999979</v>
      </c>
      <c r="AT70" s="3">
        <f t="shared" si="49"/>
        <v>0.34000000000000341</v>
      </c>
      <c r="AU70" s="1">
        <f>ROUND(IF($B70="NSW",L70*Meta!$B$6,L70),1)</f>
        <v>3160</v>
      </c>
      <c r="AV70" s="3">
        <f t="shared" si="31"/>
        <v>96154.1</v>
      </c>
    </row>
    <row r="71" spans="1:48" x14ac:dyDescent="0.55000000000000004">
      <c r="A71" s="2" t="s">
        <v>75</v>
      </c>
      <c r="B71" s="3" t="s">
        <v>29</v>
      </c>
      <c r="C71" s="4">
        <v>30.63</v>
      </c>
      <c r="D71" s="5">
        <v>43.63</v>
      </c>
      <c r="E71" s="5">
        <v>0</v>
      </c>
      <c r="F71" s="5">
        <v>7.56</v>
      </c>
      <c r="G71" s="5">
        <v>11.46</v>
      </c>
      <c r="H71" s="5">
        <v>6.72</v>
      </c>
      <c r="I71" s="4">
        <v>55.39</v>
      </c>
      <c r="J71" s="3">
        <v>44.61</v>
      </c>
      <c r="K71" s="4">
        <v>89099</v>
      </c>
      <c r="L71" s="5">
        <v>4899</v>
      </c>
      <c r="M71" s="3">
        <f t="shared" si="32"/>
        <v>84200</v>
      </c>
      <c r="N71" s="5">
        <f t="shared" si="33"/>
        <v>5.4983782085096355E-2</v>
      </c>
      <c r="O71" s="4">
        <f>ROUND($C71+MIN($D71:$E71)*(1-SUMIFS(PrefFlows!$C:$C,PrefFlows!$A:$A,INDEX($D$1:$E$1,MATCH(MIN($D71:$E71),$D71:$E71,0)),PrefFlows!$B:$B,$B71)),2)</f>
        <v>30.63</v>
      </c>
      <c r="P71" s="5">
        <f>ROUND(MAX($D71:$E71)+MIN($D71:$E71)*SUMIFS(PrefFlows!$C:$C,PrefFlows!$A:$A,INDEX($D$1:$E$1,MATCH(MIN($D71:$E71),$D71:$E71,0)),PrefFlows!$B:$B,$B71),2)</f>
        <v>43.63</v>
      </c>
      <c r="Q71" s="5">
        <f t="shared" si="34"/>
        <v>7.56</v>
      </c>
      <c r="R71" s="5">
        <f t="shared" si="35"/>
        <v>11.46</v>
      </c>
      <c r="S71" s="3">
        <f t="shared" si="36"/>
        <v>6.72</v>
      </c>
      <c r="T71" s="6">
        <f t="shared" si="37"/>
        <v>13</v>
      </c>
      <c r="U71" s="4">
        <f>ROUND($Q71*SUMIFS(PrefFlows!$C:$C,PrefFlows!$A:$A,$Q$1,PrefFlows!$B:$B,$B71)+$R71*SUMIFS(PrefFlows!$C:$C,PrefFlows!$A:$A,$R$1,PrefFlows!$B:$B,$B71)+$S71*SUMIFS(PrefFlows!$C:$C,PrefFlows!$A:$A,$S$1,PrefFlows!$B:$B,$B71),2)</f>
        <v>10.64</v>
      </c>
      <c r="V71" s="3">
        <f>ROUND($Q71*(1-SUMIFS(PrefFlows!$C:$C,PrefFlows!$A:$A,$Q$1,PrefFlows!$B:$B,$B71))+$R71*(1-SUMIFS(PrefFlows!$C:$C,PrefFlows!$A:$A,$R$1,PrefFlows!$B:$B,$B71))+$S71*(1-SUMIFS(PrefFlows!$C:$C,PrefFlows!$A:$A,$S$1,PrefFlows!$B:$B,$B71)),2)</f>
        <v>15.1</v>
      </c>
      <c r="W71" s="4">
        <f t="shared" si="38"/>
        <v>11.76</v>
      </c>
      <c r="X71" s="3">
        <f t="shared" si="39"/>
        <v>13.98</v>
      </c>
      <c r="Y71" s="4">
        <f t="shared" si="40"/>
        <v>0.41339999999999999</v>
      </c>
      <c r="Z71" s="5">
        <f t="shared" si="41"/>
        <v>0.45689999999999997</v>
      </c>
      <c r="AA71" s="5">
        <f t="shared" si="42"/>
        <v>4.3499999999999997E-2</v>
      </c>
      <c r="AB71" s="3">
        <v>3.7836871206573801E-2</v>
      </c>
      <c r="AC71" s="4">
        <f>ROUND(Q71*(1-(Exhaust!$B$2+AB71)),2)</f>
        <v>3.04</v>
      </c>
      <c r="AD71" s="5">
        <f>ROUND(R71*(1-(Exhaust!$B$3+$AB71)),2)</f>
        <v>6.44</v>
      </c>
      <c r="AE71" s="3">
        <f>ROUND(S71*(1-(Exhaust!$B$4+$AB71)),2)</f>
        <v>3.11</v>
      </c>
      <c r="AF71" s="4">
        <f>ROUND($AC71*(SUMIFS(PrefFlows!$C:$C,PrefFlows!$A:$A,$Q$1,PrefFlows!$B:$B,$B71)+$AA71)+$AD71*(SUMIFS(PrefFlows!$C:$C,PrefFlows!$A:$A,$R$1,PrefFlows!$B:$B,$B71)+$AA71)+$AE71*(SUMIFS(PrefFlows!$C:$C,PrefFlows!$A:$A,$S$1,PrefFlows!$B:$B,$B71)+$AA71),2)</f>
        <v>5.41</v>
      </c>
      <c r="AG71" s="3">
        <f>ROUND($AC71*(1-(SUMIFS(PrefFlows!$C:$C,PrefFlows!$A:$A,$Q$1,PrefFlows!$B:$B,$B71)+$AA71))+$AD71*(1-(SUMIFS(PrefFlows!$C:$C,PrefFlows!$A:$A,$R$1,PrefFlows!$B:$B,$B71)+$AA71))+$AE71*(1-(SUMIFS(PrefFlows!$C:$C,PrefFlows!$A:$A,$S$1,PrefFlows!$B:$B,$B71)+$AA71)),2)</f>
        <v>7.18</v>
      </c>
      <c r="AH71" s="4">
        <f t="shared" si="43"/>
        <v>49.04</v>
      </c>
      <c r="AI71" s="3">
        <f t="shared" si="44"/>
        <v>37.81</v>
      </c>
      <c r="AJ71" s="4">
        <f t="shared" si="45"/>
        <v>56.47</v>
      </c>
      <c r="AK71" s="3">
        <f t="shared" si="45"/>
        <v>43.53</v>
      </c>
      <c r="AL71" s="1">
        <f t="shared" si="28"/>
        <v>5.39</v>
      </c>
      <c r="AM71" s="1">
        <f t="shared" si="29"/>
        <v>6.76</v>
      </c>
      <c r="AN71" s="3">
        <f t="shared" si="30"/>
        <v>6.47</v>
      </c>
      <c r="AO71" s="1" t="b">
        <f t="shared" si="46"/>
        <v>0</v>
      </c>
      <c r="AP71" s="1" t="b">
        <f t="shared" si="46"/>
        <v>0</v>
      </c>
      <c r="AQ71" s="3" t="b">
        <f t="shared" si="47"/>
        <v>0</v>
      </c>
      <c r="AR71" s="1">
        <f t="shared" si="48"/>
        <v>1.37</v>
      </c>
      <c r="AS71" s="1">
        <f t="shared" si="48"/>
        <v>1.08</v>
      </c>
      <c r="AT71" s="3">
        <f t="shared" si="49"/>
        <v>0.29000000000000004</v>
      </c>
      <c r="AU71" s="1">
        <f>ROUND(IF($B71="NSW",L71*Meta!$B$6,L71),1)</f>
        <v>4899</v>
      </c>
      <c r="AV71" s="3">
        <f t="shared" si="31"/>
        <v>85294.8</v>
      </c>
    </row>
    <row r="72" spans="1:48" x14ac:dyDescent="0.55000000000000004">
      <c r="A72" s="2" t="s">
        <v>76</v>
      </c>
      <c r="B72" s="3" t="s">
        <v>21</v>
      </c>
      <c r="C72" s="4">
        <v>25.45</v>
      </c>
      <c r="D72" s="5">
        <v>37.11</v>
      </c>
      <c r="E72" s="5">
        <v>0</v>
      </c>
      <c r="F72" s="5">
        <v>26.58</v>
      </c>
      <c r="G72" s="5">
        <v>7.31</v>
      </c>
      <c r="H72" s="5">
        <v>3.54</v>
      </c>
      <c r="I72" s="4">
        <v>58.36</v>
      </c>
      <c r="J72" s="3">
        <v>41.64</v>
      </c>
      <c r="K72" s="4">
        <v>97676</v>
      </c>
      <c r="L72" s="5">
        <v>5759</v>
      </c>
      <c r="M72" s="3">
        <f t="shared" si="32"/>
        <v>91917</v>
      </c>
      <c r="N72" s="5">
        <f t="shared" si="33"/>
        <v>5.8960235881895244E-2</v>
      </c>
      <c r="O72" s="4">
        <f>ROUND($C72+MIN($D72:$E72)*(1-SUMIFS(PrefFlows!$C:$C,PrefFlows!$A:$A,INDEX($D$1:$E$1,MATCH(MIN($D72:$E72),$D72:$E72,0)),PrefFlows!$B:$B,$B72)),2)</f>
        <v>25.45</v>
      </c>
      <c r="P72" s="5">
        <f>ROUND(MAX($D72:$E72)+MIN($D72:$E72)*SUMIFS(PrefFlows!$C:$C,PrefFlows!$A:$A,INDEX($D$1:$E$1,MATCH(MIN($D72:$E72),$D72:$E72,0)),PrefFlows!$B:$B,$B72),2)</f>
        <v>37.11</v>
      </c>
      <c r="Q72" s="5">
        <f t="shared" si="34"/>
        <v>26.58</v>
      </c>
      <c r="R72" s="5">
        <f t="shared" si="35"/>
        <v>7.31</v>
      </c>
      <c r="S72" s="3">
        <f t="shared" si="36"/>
        <v>3.54</v>
      </c>
      <c r="T72" s="6">
        <f t="shared" si="37"/>
        <v>11.66</v>
      </c>
      <c r="U72" s="4">
        <f>ROUND($Q72*SUMIFS(PrefFlows!$C:$C,PrefFlows!$A:$A,$Q$1,PrefFlows!$B:$B,$B72)+$R72*SUMIFS(PrefFlows!$C:$C,PrefFlows!$A:$A,$R$1,PrefFlows!$B:$B,$B72)+$S72*SUMIFS(PrefFlows!$C:$C,PrefFlows!$A:$A,$S$1,PrefFlows!$B:$B,$B72),2)</f>
        <v>21.25</v>
      </c>
      <c r="V72" s="3">
        <f>ROUND($Q72*(1-SUMIFS(PrefFlows!$C:$C,PrefFlows!$A:$A,$Q$1,PrefFlows!$B:$B,$B72))+$R72*(1-SUMIFS(PrefFlows!$C:$C,PrefFlows!$A:$A,$R$1,PrefFlows!$B:$B,$B72))+$S72*(1-SUMIFS(PrefFlows!$C:$C,PrefFlows!$A:$A,$S$1,PrefFlows!$B:$B,$B72)),2)</f>
        <v>16.18</v>
      </c>
      <c r="W72" s="4">
        <f t="shared" si="38"/>
        <v>21.25</v>
      </c>
      <c r="X72" s="3">
        <f t="shared" si="39"/>
        <v>16.190000000000001</v>
      </c>
      <c r="Y72" s="4">
        <f t="shared" si="40"/>
        <v>0.56769999999999998</v>
      </c>
      <c r="Z72" s="5">
        <f t="shared" si="41"/>
        <v>0.56759999999999999</v>
      </c>
      <c r="AA72" s="5">
        <f t="shared" si="42"/>
        <v>-1E-4</v>
      </c>
      <c r="AB72" s="3">
        <v>2.75801035269423E-2</v>
      </c>
      <c r="AC72" s="4">
        <f>ROUND(Q72*(1-(Exhaust!$B$2+AB72)),2)</f>
        <v>10.96</v>
      </c>
      <c r="AD72" s="5">
        <f>ROUND(R72*(1-(Exhaust!$B$3+$AB72)),2)</f>
        <v>4.18</v>
      </c>
      <c r="AE72" s="3">
        <f>ROUND(S72*(1-(Exhaust!$B$4+$AB72)),2)</f>
        <v>1.67</v>
      </c>
      <c r="AF72" s="4">
        <f>ROUND($AC72*(SUMIFS(PrefFlows!$C:$C,PrefFlows!$A:$A,$Q$1,PrefFlows!$B:$B,$B72)+$AA72)+$AD72*(SUMIFS(PrefFlows!$C:$C,PrefFlows!$A:$A,$R$1,PrefFlows!$B:$B,$B72)+$AA72)+$AE72*(SUMIFS(PrefFlows!$C:$C,PrefFlows!$A:$A,$S$1,PrefFlows!$B:$B,$B72)+$AA72),2)</f>
        <v>9.1</v>
      </c>
      <c r="AG72" s="3">
        <f>ROUND($AC72*(1-(SUMIFS(PrefFlows!$C:$C,PrefFlows!$A:$A,$Q$1,PrefFlows!$B:$B,$B72)+$AA72))+$AD72*(1-(SUMIFS(PrefFlows!$C:$C,PrefFlows!$A:$A,$R$1,PrefFlows!$B:$B,$B72)+$AA72))+$AE72*(1-(SUMIFS(PrefFlows!$C:$C,PrefFlows!$A:$A,$S$1,PrefFlows!$B:$B,$B72)+$AA72)),2)</f>
        <v>7.71</v>
      </c>
      <c r="AH72" s="4">
        <f t="shared" si="43"/>
        <v>46.21</v>
      </c>
      <c r="AI72" s="3">
        <f t="shared" si="44"/>
        <v>33.159999999999997</v>
      </c>
      <c r="AJ72" s="4">
        <f t="shared" si="45"/>
        <v>58.22</v>
      </c>
      <c r="AK72" s="3">
        <f t="shared" si="45"/>
        <v>41.78</v>
      </c>
      <c r="AL72" s="1">
        <f t="shared" si="28"/>
        <v>8.36</v>
      </c>
      <c r="AM72" s="1">
        <f t="shared" si="29"/>
        <v>8.7100000000000009</v>
      </c>
      <c r="AN72" s="3">
        <f t="shared" si="30"/>
        <v>8.2200000000000006</v>
      </c>
      <c r="AO72" s="1" t="b">
        <f t="shared" si="46"/>
        <v>0</v>
      </c>
      <c r="AP72" s="1" t="b">
        <f t="shared" si="46"/>
        <v>0</v>
      </c>
      <c r="AQ72" s="3" t="b">
        <f t="shared" si="47"/>
        <v>0</v>
      </c>
      <c r="AR72" s="1">
        <f t="shared" si="48"/>
        <v>0.35000000000000142</v>
      </c>
      <c r="AS72" s="1">
        <f t="shared" si="48"/>
        <v>-0.13999999999999879</v>
      </c>
      <c r="AT72" s="3">
        <f t="shared" si="49"/>
        <v>0.49000000000000021</v>
      </c>
      <c r="AU72" s="1">
        <f>ROUND(IF($B72="NSW",L72*Meta!$B$6,L72),1)</f>
        <v>5759</v>
      </c>
      <c r="AV72" s="3">
        <f t="shared" si="31"/>
        <v>93203.9</v>
      </c>
    </row>
    <row r="73" spans="1:48" x14ac:dyDescent="0.55000000000000004">
      <c r="A73" s="2" t="s">
        <v>77</v>
      </c>
      <c r="B73" s="3" t="s">
        <v>9</v>
      </c>
      <c r="C73" s="4">
        <v>25.38</v>
      </c>
      <c r="D73" s="5">
        <v>47.86</v>
      </c>
      <c r="E73" s="5">
        <v>0</v>
      </c>
      <c r="F73" s="5">
        <v>1.24</v>
      </c>
      <c r="G73" s="5">
        <v>22.47</v>
      </c>
      <c r="H73" s="5">
        <v>3.05</v>
      </c>
      <c r="I73" s="4">
        <v>53.88</v>
      </c>
      <c r="J73" s="3">
        <v>46.12</v>
      </c>
      <c r="K73" s="4">
        <v>102541</v>
      </c>
      <c r="L73" s="5">
        <v>2063</v>
      </c>
      <c r="M73" s="3">
        <f t="shared" si="32"/>
        <v>100478</v>
      </c>
      <c r="N73" s="5">
        <f t="shared" si="33"/>
        <v>2.0118781755590447E-2</v>
      </c>
      <c r="O73" s="4">
        <f>ROUND($C73+MIN($D73:$E73)*(1-SUMIFS(PrefFlows!$C:$C,PrefFlows!$A:$A,INDEX($D$1:$E$1,MATCH(MIN($D73:$E73),$D73:$E73,0)),PrefFlows!$B:$B,$B73)),2)</f>
        <v>25.38</v>
      </c>
      <c r="P73" s="5">
        <f>ROUND(MAX($D73:$E73)+MIN($D73:$E73)*SUMIFS(PrefFlows!$C:$C,PrefFlows!$A:$A,INDEX($D$1:$E$1,MATCH(MIN($D73:$E73),$D73:$E73,0)),PrefFlows!$B:$B,$B73),2)</f>
        <v>47.86</v>
      </c>
      <c r="Q73" s="5">
        <f t="shared" si="34"/>
        <v>1.24</v>
      </c>
      <c r="R73" s="5">
        <f t="shared" si="35"/>
        <v>22.47</v>
      </c>
      <c r="S73" s="3">
        <f t="shared" si="36"/>
        <v>3.05</v>
      </c>
      <c r="T73" s="6">
        <f t="shared" si="37"/>
        <v>22.48</v>
      </c>
      <c r="U73" s="4">
        <f>ROUND($Q73*SUMIFS(PrefFlows!$C:$C,PrefFlows!$A:$A,$Q$1,PrefFlows!$B:$B,$B73)+$R73*SUMIFS(PrefFlows!$C:$C,PrefFlows!$A:$A,$R$1,PrefFlows!$B:$B,$B73)+$S73*SUMIFS(PrefFlows!$C:$C,PrefFlows!$A:$A,$S$1,PrefFlows!$B:$B,$B73),2)</f>
        <v>5.98</v>
      </c>
      <c r="V73" s="3">
        <f>ROUND($Q73*(1-SUMIFS(PrefFlows!$C:$C,PrefFlows!$A:$A,$Q$1,PrefFlows!$B:$B,$B73))+$R73*(1-SUMIFS(PrefFlows!$C:$C,PrefFlows!$A:$A,$R$1,PrefFlows!$B:$B,$B73))+$S73*(1-SUMIFS(PrefFlows!$C:$C,PrefFlows!$A:$A,$S$1,PrefFlows!$B:$B,$B73)),2)</f>
        <v>20.78</v>
      </c>
      <c r="W73" s="4">
        <f t="shared" si="38"/>
        <v>6.02</v>
      </c>
      <c r="X73" s="3">
        <f t="shared" si="39"/>
        <v>20.74</v>
      </c>
      <c r="Y73" s="4">
        <f t="shared" si="40"/>
        <v>0.2235</v>
      </c>
      <c r="Z73" s="5">
        <f t="shared" si="41"/>
        <v>0.22500000000000001</v>
      </c>
      <c r="AA73" s="5">
        <f t="shared" si="42"/>
        <v>1.5E-3</v>
      </c>
      <c r="AB73" s="3">
        <v>-2.0613050033147999E-2</v>
      </c>
      <c r="AC73" s="4">
        <f>ROUND(Q73*(1-(Exhaust!$B$2+AB73)),2)</f>
        <v>0.56999999999999995</v>
      </c>
      <c r="AD73" s="5">
        <f>ROUND(R73*(1-(Exhaust!$B$3+$AB73)),2)</f>
        <v>13.95</v>
      </c>
      <c r="AE73" s="3">
        <f>ROUND(S73*(1-(Exhaust!$B$4+$AB73)),2)</f>
        <v>1.59</v>
      </c>
      <c r="AF73" s="4">
        <f>ROUND($AC73*(SUMIFS(PrefFlows!$C:$C,PrefFlows!$A:$A,$Q$1,PrefFlows!$B:$B,$B73)+$AA73)+$AD73*(SUMIFS(PrefFlows!$C:$C,PrefFlows!$A:$A,$R$1,PrefFlows!$B:$B,$B73)+$AA73)+$AE73*(SUMIFS(PrefFlows!$C:$C,PrefFlows!$A:$A,$S$1,PrefFlows!$B:$B,$B73)+$AA73),2)</f>
        <v>3.44</v>
      </c>
      <c r="AG73" s="3">
        <f>ROUND($AC73*(1-(SUMIFS(PrefFlows!$C:$C,PrefFlows!$A:$A,$Q$1,PrefFlows!$B:$B,$B73)+$AA73))+$AD73*(1-(SUMIFS(PrefFlows!$C:$C,PrefFlows!$A:$A,$R$1,PrefFlows!$B:$B,$B73)+$AA73))+$AE73*(1-(SUMIFS(PrefFlows!$C:$C,PrefFlows!$A:$A,$S$1,PrefFlows!$B:$B,$B73)+$AA73)),2)</f>
        <v>12.67</v>
      </c>
      <c r="AH73" s="4">
        <f t="shared" si="43"/>
        <v>51.3</v>
      </c>
      <c r="AI73" s="3">
        <f t="shared" si="44"/>
        <v>38.049999999999997</v>
      </c>
      <c r="AJ73" s="4">
        <f t="shared" si="45"/>
        <v>57.41</v>
      </c>
      <c r="AK73" s="3">
        <f t="shared" si="45"/>
        <v>42.59</v>
      </c>
      <c r="AL73" s="1">
        <f t="shared" si="28"/>
        <v>3.88</v>
      </c>
      <c r="AM73" s="1">
        <f t="shared" si="29"/>
        <v>8.51</v>
      </c>
      <c r="AN73" s="3">
        <f t="shared" si="30"/>
        <v>7.41</v>
      </c>
      <c r="AO73" s="1" t="b">
        <f t="shared" si="46"/>
        <v>0</v>
      </c>
      <c r="AP73" s="1" t="b">
        <f t="shared" si="46"/>
        <v>0</v>
      </c>
      <c r="AQ73" s="3" t="b">
        <f t="shared" si="47"/>
        <v>0</v>
      </c>
      <c r="AR73" s="1">
        <f t="shared" si="48"/>
        <v>4.63</v>
      </c>
      <c r="AS73" s="1">
        <f t="shared" si="48"/>
        <v>3.5300000000000002</v>
      </c>
      <c r="AT73" s="3">
        <f t="shared" si="49"/>
        <v>1.0999999999999996</v>
      </c>
      <c r="AU73" s="1">
        <f>ROUND(IF($B73="NSW",L73*Meta!$B$6,L73),1)</f>
        <v>2063</v>
      </c>
      <c r="AV73" s="3">
        <f t="shared" si="31"/>
        <v>100939</v>
      </c>
    </row>
    <row r="74" spans="1:48" x14ac:dyDescent="0.55000000000000004">
      <c r="A74" s="2" t="s">
        <v>78</v>
      </c>
      <c r="B74" s="3" t="s">
        <v>7</v>
      </c>
      <c r="C74" s="4">
        <v>43.09</v>
      </c>
      <c r="D74" s="5">
        <v>36.75</v>
      </c>
      <c r="E74" s="5">
        <v>0</v>
      </c>
      <c r="F74" s="5">
        <v>4.34</v>
      </c>
      <c r="G74" s="5">
        <v>10.98</v>
      </c>
      <c r="H74" s="5">
        <v>4.84</v>
      </c>
      <c r="I74" s="4">
        <v>43.46</v>
      </c>
      <c r="J74" s="3">
        <v>56.54</v>
      </c>
      <c r="K74" s="4">
        <v>113879</v>
      </c>
      <c r="L74" s="5">
        <v>4924</v>
      </c>
      <c r="M74" s="3">
        <f t="shared" si="32"/>
        <v>108955</v>
      </c>
      <c r="N74" s="5">
        <f t="shared" si="33"/>
        <v>4.3238876351214886E-2</v>
      </c>
      <c r="O74" s="4">
        <f>ROUND($C74+MIN($D74:$E74)*(1-SUMIFS(PrefFlows!$C:$C,PrefFlows!$A:$A,INDEX($D$1:$E$1,MATCH(MIN($D74:$E74),$D74:$E74,0)),PrefFlows!$B:$B,$B74)),2)</f>
        <v>43.09</v>
      </c>
      <c r="P74" s="5">
        <f>ROUND(MAX($D74:$E74)+MIN($D74:$E74)*SUMIFS(PrefFlows!$C:$C,PrefFlows!$A:$A,INDEX($D$1:$E$1,MATCH(MIN($D74:$E74),$D74:$E74,0)),PrefFlows!$B:$B,$B74),2)</f>
        <v>36.75</v>
      </c>
      <c r="Q74" s="5">
        <f t="shared" si="34"/>
        <v>4.34</v>
      </c>
      <c r="R74" s="5">
        <f t="shared" si="35"/>
        <v>10.98</v>
      </c>
      <c r="S74" s="3">
        <f t="shared" si="36"/>
        <v>4.84</v>
      </c>
      <c r="T74" s="6">
        <f t="shared" si="37"/>
        <v>-6.34</v>
      </c>
      <c r="U74" s="4">
        <f>ROUND($Q74*SUMIFS(PrefFlows!$C:$C,PrefFlows!$A:$A,$Q$1,PrefFlows!$B:$B,$B74)+$R74*SUMIFS(PrefFlows!$C:$C,PrefFlows!$A:$A,$R$1,PrefFlows!$B:$B,$B74)+$S74*SUMIFS(PrefFlows!$C:$C,PrefFlows!$A:$A,$S$1,PrefFlows!$B:$B,$B74),2)</f>
        <v>7.5</v>
      </c>
      <c r="V74" s="3">
        <f>ROUND($Q74*(1-SUMIFS(PrefFlows!$C:$C,PrefFlows!$A:$A,$Q$1,PrefFlows!$B:$B,$B74))+$R74*(1-SUMIFS(PrefFlows!$C:$C,PrefFlows!$A:$A,$R$1,PrefFlows!$B:$B,$B74))+$S74*(1-SUMIFS(PrefFlows!$C:$C,PrefFlows!$A:$A,$S$1,PrefFlows!$B:$B,$B74)),2)</f>
        <v>12.66</v>
      </c>
      <c r="W74" s="4">
        <f t="shared" si="38"/>
        <v>6.71</v>
      </c>
      <c r="X74" s="3">
        <f t="shared" si="39"/>
        <v>13.45</v>
      </c>
      <c r="Y74" s="4">
        <f t="shared" si="40"/>
        <v>0.372</v>
      </c>
      <c r="Z74" s="5">
        <f t="shared" si="41"/>
        <v>0.33279999999999998</v>
      </c>
      <c r="AA74" s="5">
        <f t="shared" si="42"/>
        <v>-3.9199999999999999E-2</v>
      </c>
      <c r="AB74" s="3">
        <v>1.9107336481554601E-2</v>
      </c>
      <c r="AC74" s="4">
        <f>ROUND(Q74*(1-(Exhaust!$B$2+AB74)),2)</f>
        <v>1.83</v>
      </c>
      <c r="AD74" s="5">
        <f>ROUND(R74*(1-(Exhaust!$B$3+$AB74)),2)</f>
        <v>6.38</v>
      </c>
      <c r="AE74" s="3">
        <f>ROUND(S74*(1-(Exhaust!$B$4+$AB74)),2)</f>
        <v>2.33</v>
      </c>
      <c r="AF74" s="4">
        <f>ROUND($AC74*(SUMIFS(PrefFlows!$C:$C,PrefFlows!$A:$A,$Q$1,PrefFlows!$B:$B,$B74)+$AA74)+$AD74*(SUMIFS(PrefFlows!$C:$C,PrefFlows!$A:$A,$R$1,PrefFlows!$B:$B,$B74)+$AA74)+$AE74*(SUMIFS(PrefFlows!$C:$C,PrefFlows!$A:$A,$S$1,PrefFlows!$B:$B,$B74)+$AA74),2)</f>
        <v>3.25</v>
      </c>
      <c r="AG74" s="3">
        <f>ROUND($AC74*(1-(SUMIFS(PrefFlows!$C:$C,PrefFlows!$A:$A,$Q$1,PrefFlows!$B:$B,$B74)+$AA74))+$AD74*(1-(SUMIFS(PrefFlows!$C:$C,PrefFlows!$A:$A,$R$1,PrefFlows!$B:$B,$B74)+$AA74))+$AE74*(1-(SUMIFS(PrefFlows!$C:$C,PrefFlows!$A:$A,$S$1,PrefFlows!$B:$B,$B74)+$AA74)),2)</f>
        <v>7.29</v>
      </c>
      <c r="AH74" s="4">
        <f t="shared" si="43"/>
        <v>40</v>
      </c>
      <c r="AI74" s="3">
        <f t="shared" si="44"/>
        <v>50.38</v>
      </c>
      <c r="AJ74" s="4">
        <f t="shared" si="45"/>
        <v>44.26</v>
      </c>
      <c r="AK74" s="3">
        <f t="shared" si="45"/>
        <v>55.74</v>
      </c>
      <c r="AL74" s="1">
        <f t="shared" si="28"/>
        <v>-6.54</v>
      </c>
      <c r="AM74" s="1">
        <f t="shared" si="29"/>
        <v>-5.45</v>
      </c>
      <c r="AN74" s="3">
        <f t="shared" si="30"/>
        <v>-5.74</v>
      </c>
      <c r="AO74" s="1" t="b">
        <f t="shared" si="46"/>
        <v>0</v>
      </c>
      <c r="AP74" s="1" t="b">
        <f t="shared" si="46"/>
        <v>0</v>
      </c>
      <c r="AQ74" s="3" t="b">
        <f t="shared" si="47"/>
        <v>0</v>
      </c>
      <c r="AR74" s="1">
        <f t="shared" si="48"/>
        <v>1.0899999999999999</v>
      </c>
      <c r="AS74" s="1">
        <f t="shared" si="48"/>
        <v>0.79999999999999982</v>
      </c>
      <c r="AT74" s="3">
        <f t="shared" si="49"/>
        <v>0.29000000000000004</v>
      </c>
      <c r="AU74" s="1">
        <f>ROUND(IF($B74="NSW",L74*Meta!$B$6,L74),1)</f>
        <v>4924</v>
      </c>
      <c r="AV74" s="3">
        <f t="shared" si="31"/>
        <v>110055.3</v>
      </c>
    </row>
    <row r="75" spans="1:48" x14ac:dyDescent="0.55000000000000004">
      <c r="A75" s="2" t="s">
        <v>79</v>
      </c>
      <c r="B75" s="3" t="s">
        <v>21</v>
      </c>
      <c r="C75" s="4">
        <v>22.93</v>
      </c>
      <c r="D75" s="5">
        <v>46.03</v>
      </c>
      <c r="E75" s="5">
        <v>0</v>
      </c>
      <c r="F75" s="5">
        <v>19.18</v>
      </c>
      <c r="G75" s="5">
        <v>3.72</v>
      </c>
      <c r="H75" s="5">
        <v>8.15</v>
      </c>
      <c r="I75" s="4">
        <v>64.5</v>
      </c>
      <c r="J75" s="3">
        <v>35.5</v>
      </c>
      <c r="K75" s="4">
        <v>99877</v>
      </c>
      <c r="L75" s="5">
        <v>7810</v>
      </c>
      <c r="M75" s="3">
        <f t="shared" si="32"/>
        <v>92067</v>
      </c>
      <c r="N75" s="5">
        <f t="shared" si="33"/>
        <v>7.8196181303002696E-2</v>
      </c>
      <c r="O75" s="4">
        <f>ROUND($C75+MIN($D75:$E75)*(1-SUMIFS(PrefFlows!$C:$C,PrefFlows!$A:$A,INDEX($D$1:$E$1,MATCH(MIN($D75:$E75),$D75:$E75,0)),PrefFlows!$B:$B,$B75)),2)</f>
        <v>22.93</v>
      </c>
      <c r="P75" s="5">
        <f>ROUND(MAX($D75:$E75)+MIN($D75:$E75)*SUMIFS(PrefFlows!$C:$C,PrefFlows!$A:$A,INDEX($D$1:$E$1,MATCH(MIN($D75:$E75),$D75:$E75,0)),PrefFlows!$B:$B,$B75),2)</f>
        <v>46.03</v>
      </c>
      <c r="Q75" s="5">
        <f t="shared" si="34"/>
        <v>19.18</v>
      </c>
      <c r="R75" s="5">
        <f t="shared" si="35"/>
        <v>3.72</v>
      </c>
      <c r="S75" s="3">
        <f t="shared" si="36"/>
        <v>8.15</v>
      </c>
      <c r="T75" s="6">
        <f t="shared" si="37"/>
        <v>23.1</v>
      </c>
      <c r="U75" s="4">
        <f>ROUND($Q75*SUMIFS(PrefFlows!$C:$C,PrefFlows!$A:$A,$Q$1,PrefFlows!$B:$B,$B75)+$R75*SUMIFS(PrefFlows!$C:$C,PrefFlows!$A:$A,$R$1,PrefFlows!$B:$B,$B75)+$S75*SUMIFS(PrefFlows!$C:$C,PrefFlows!$A:$A,$S$1,PrefFlows!$B:$B,$B75),2)</f>
        <v>17.84</v>
      </c>
      <c r="V75" s="3">
        <f>ROUND($Q75*(1-SUMIFS(PrefFlows!$C:$C,PrefFlows!$A:$A,$Q$1,PrefFlows!$B:$B,$B75))+$R75*(1-SUMIFS(PrefFlows!$C:$C,PrefFlows!$A:$A,$R$1,PrefFlows!$B:$B,$B75))+$S75*(1-SUMIFS(PrefFlows!$C:$C,PrefFlows!$A:$A,$S$1,PrefFlows!$B:$B,$B75)),2)</f>
        <v>13.21</v>
      </c>
      <c r="W75" s="4">
        <f t="shared" si="38"/>
        <v>18.47</v>
      </c>
      <c r="X75" s="3">
        <f t="shared" si="39"/>
        <v>12.57</v>
      </c>
      <c r="Y75" s="4">
        <f t="shared" si="40"/>
        <v>0.5746</v>
      </c>
      <c r="Z75" s="5">
        <f t="shared" si="41"/>
        <v>0.59499999999999997</v>
      </c>
      <c r="AA75" s="5">
        <f t="shared" si="42"/>
        <v>2.0400000000000001E-2</v>
      </c>
      <c r="AB75" s="3">
        <v>3.80855432856326E-2</v>
      </c>
      <c r="AC75" s="4">
        <f>ROUND(Q75*(1-(Exhaust!$B$2+AB75)),2)</f>
        <v>7.71</v>
      </c>
      <c r="AD75" s="5">
        <f>ROUND(R75*(1-(Exhaust!$B$3+$AB75)),2)</f>
        <v>2.09</v>
      </c>
      <c r="AE75" s="3">
        <f>ROUND(S75*(1-(Exhaust!$B$4+$AB75)),2)</f>
        <v>3.76</v>
      </c>
      <c r="AF75" s="4">
        <f>ROUND($AC75*(SUMIFS(PrefFlows!$C:$C,PrefFlows!$A:$A,$Q$1,PrefFlows!$B:$B,$B75)+$AA75)+$AD75*(SUMIFS(PrefFlows!$C:$C,PrefFlows!$A:$A,$R$1,PrefFlows!$B:$B,$B75)+$AA75)+$AE75*(SUMIFS(PrefFlows!$C:$C,PrefFlows!$A:$A,$S$1,PrefFlows!$B:$B,$B75)+$AA75),2)</f>
        <v>7.81</v>
      </c>
      <c r="AG75" s="3">
        <f>ROUND($AC75*(1-(SUMIFS(PrefFlows!$C:$C,PrefFlows!$A:$A,$Q$1,PrefFlows!$B:$B,$B75)+$AA75))+$AD75*(1-(SUMIFS(PrefFlows!$C:$C,PrefFlows!$A:$A,$R$1,PrefFlows!$B:$B,$B75)+$AA75))+$AE75*(1-(SUMIFS(PrefFlows!$C:$C,PrefFlows!$A:$A,$S$1,PrefFlows!$B:$B,$B75)+$AA75)),2)</f>
        <v>5.75</v>
      </c>
      <c r="AH75" s="4">
        <f t="shared" si="43"/>
        <v>53.84</v>
      </c>
      <c r="AI75" s="3">
        <f t="shared" si="44"/>
        <v>28.68</v>
      </c>
      <c r="AJ75" s="4">
        <f t="shared" si="45"/>
        <v>65.239999999999995</v>
      </c>
      <c r="AK75" s="3">
        <f t="shared" si="45"/>
        <v>34.76</v>
      </c>
      <c r="AL75" s="1">
        <f t="shared" si="28"/>
        <v>14.5</v>
      </c>
      <c r="AM75" s="1">
        <f t="shared" si="29"/>
        <v>15.37</v>
      </c>
      <c r="AN75" s="3">
        <f t="shared" si="30"/>
        <v>15.24</v>
      </c>
      <c r="AO75" s="1" t="b">
        <f t="shared" si="46"/>
        <v>0</v>
      </c>
      <c r="AP75" s="1" t="b">
        <f t="shared" si="46"/>
        <v>0</v>
      </c>
      <c r="AQ75" s="3" t="b">
        <f t="shared" si="47"/>
        <v>0</v>
      </c>
      <c r="AR75" s="1">
        <f t="shared" si="48"/>
        <v>0.86999999999999922</v>
      </c>
      <c r="AS75" s="1">
        <f t="shared" si="48"/>
        <v>0.74000000000000021</v>
      </c>
      <c r="AT75" s="3">
        <f t="shared" si="49"/>
        <v>0.12999999999999901</v>
      </c>
      <c r="AU75" s="1">
        <f>ROUND(IF($B75="NSW",L75*Meta!$B$6,L75),1)</f>
        <v>7810</v>
      </c>
      <c r="AV75" s="3">
        <f t="shared" si="31"/>
        <v>93812.3</v>
      </c>
    </row>
    <row r="76" spans="1:48" x14ac:dyDescent="0.55000000000000004">
      <c r="A76" s="2" t="s">
        <v>80</v>
      </c>
      <c r="B76" s="3" t="s">
        <v>9</v>
      </c>
      <c r="C76" s="4">
        <v>50.73</v>
      </c>
      <c r="D76" s="5">
        <v>35.869999999999997</v>
      </c>
      <c r="E76" s="5">
        <v>0</v>
      </c>
      <c r="F76" s="5">
        <v>6.29</v>
      </c>
      <c r="G76" s="5">
        <v>7.11</v>
      </c>
      <c r="H76" s="5">
        <v>0</v>
      </c>
      <c r="I76" s="4">
        <v>41.3</v>
      </c>
      <c r="J76" s="3">
        <v>58.7</v>
      </c>
      <c r="K76" s="4">
        <v>98756</v>
      </c>
      <c r="L76" s="5">
        <v>4069</v>
      </c>
      <c r="M76" s="3">
        <f t="shared" si="32"/>
        <v>94687</v>
      </c>
      <c r="N76" s="5">
        <f t="shared" si="33"/>
        <v>4.1202559844465143E-2</v>
      </c>
      <c r="O76" s="4">
        <f>ROUND($C76+MIN($D76:$E76)*(1-SUMIFS(PrefFlows!$C:$C,PrefFlows!$A:$A,INDEX($D$1:$E$1,MATCH(MIN($D76:$E76),$D76:$E76,0)),PrefFlows!$B:$B,$B76)),2)</f>
        <v>50.73</v>
      </c>
      <c r="P76" s="5">
        <f>ROUND(MAX($D76:$E76)+MIN($D76:$E76)*SUMIFS(PrefFlows!$C:$C,PrefFlows!$A:$A,INDEX($D$1:$E$1,MATCH(MIN($D76:$E76),$D76:$E76,0)),PrefFlows!$B:$B,$B76),2)</f>
        <v>35.869999999999997</v>
      </c>
      <c r="Q76" s="5">
        <f t="shared" si="34"/>
        <v>6.29</v>
      </c>
      <c r="R76" s="5">
        <f t="shared" si="35"/>
        <v>7.11</v>
      </c>
      <c r="S76" s="3">
        <f t="shared" si="36"/>
        <v>0</v>
      </c>
      <c r="T76" s="6">
        <f t="shared" si="37"/>
        <v>-14.86</v>
      </c>
      <c r="U76" s="4">
        <f>ROUND($Q76*SUMIFS(PrefFlows!$C:$C,PrefFlows!$A:$A,$Q$1,PrefFlows!$B:$B,$B76)+$R76*SUMIFS(PrefFlows!$C:$C,PrefFlows!$A:$A,$R$1,PrefFlows!$B:$B,$B76)+$S76*SUMIFS(PrefFlows!$C:$C,PrefFlows!$A:$A,$S$1,PrefFlows!$B:$B,$B76),2)</f>
        <v>5.14</v>
      </c>
      <c r="V76" s="3">
        <f>ROUND($Q76*(1-SUMIFS(PrefFlows!$C:$C,PrefFlows!$A:$A,$Q$1,PrefFlows!$B:$B,$B76))+$R76*(1-SUMIFS(PrefFlows!$C:$C,PrefFlows!$A:$A,$R$1,PrefFlows!$B:$B,$B76))+$S76*(1-SUMIFS(PrefFlows!$C:$C,PrefFlows!$A:$A,$S$1,PrefFlows!$B:$B,$B76)),2)</f>
        <v>8.26</v>
      </c>
      <c r="W76" s="4">
        <f t="shared" si="38"/>
        <v>5.43</v>
      </c>
      <c r="X76" s="3">
        <f t="shared" si="39"/>
        <v>7.97</v>
      </c>
      <c r="Y76" s="4">
        <f t="shared" si="40"/>
        <v>0.3836</v>
      </c>
      <c r="Z76" s="5">
        <f t="shared" si="41"/>
        <v>0.4052</v>
      </c>
      <c r="AA76" s="5">
        <f t="shared" si="42"/>
        <v>2.1600000000000001E-2</v>
      </c>
      <c r="AB76" s="3">
        <v>6.6351768795836305E-2</v>
      </c>
      <c r="AC76" s="4">
        <f>ROUND(Q76*(1-(Exhaust!$B$2+AB76)),2)</f>
        <v>2.35</v>
      </c>
      <c r="AD76" s="5">
        <f>ROUND(R76*(1-(Exhaust!$B$3+$AB76)),2)</f>
        <v>3.79</v>
      </c>
      <c r="AE76" s="3">
        <f>ROUND(S76*(1-(Exhaust!$B$4+$AB76)),2)</f>
        <v>0</v>
      </c>
      <c r="AF76" s="4">
        <f>ROUND($AC76*(SUMIFS(PrefFlows!$C:$C,PrefFlows!$A:$A,$Q$1,PrefFlows!$B:$B,$B76)+$AA76)+$AD76*(SUMIFS(PrefFlows!$C:$C,PrefFlows!$A:$A,$R$1,PrefFlows!$B:$B,$B76)+$AA76)+$AE76*(SUMIFS(PrefFlows!$C:$C,PrefFlows!$A:$A,$S$1,PrefFlows!$B:$B,$B76)+$AA76),2)</f>
        <v>2.23</v>
      </c>
      <c r="AG76" s="3">
        <f>ROUND($AC76*(1-(SUMIFS(PrefFlows!$C:$C,PrefFlows!$A:$A,$Q$1,PrefFlows!$B:$B,$B76)+$AA76))+$AD76*(1-(SUMIFS(PrefFlows!$C:$C,PrefFlows!$A:$A,$R$1,PrefFlows!$B:$B,$B76)+$AA76))+$AE76*(1-(SUMIFS(PrefFlows!$C:$C,PrefFlows!$A:$A,$S$1,PrefFlows!$B:$B,$B76)+$AA76)),2)</f>
        <v>3.91</v>
      </c>
      <c r="AH76" s="4">
        <f t="shared" si="43"/>
        <v>38.1</v>
      </c>
      <c r="AI76" s="3">
        <f t="shared" si="44"/>
        <v>54.64</v>
      </c>
      <c r="AJ76" s="4">
        <f t="shared" si="45"/>
        <v>41.08</v>
      </c>
      <c r="AK76" s="3">
        <f t="shared" si="45"/>
        <v>58.92</v>
      </c>
      <c r="AL76" s="1">
        <f t="shared" si="28"/>
        <v>-8.6999999999999993</v>
      </c>
      <c r="AM76" s="1">
        <f t="shared" si="29"/>
        <v>-8.65</v>
      </c>
      <c r="AN76" s="3">
        <f t="shared" si="30"/>
        <v>-8.92</v>
      </c>
      <c r="AO76" s="1" t="b">
        <f t="shared" si="46"/>
        <v>0</v>
      </c>
      <c r="AP76" s="1" t="b">
        <f t="shared" si="46"/>
        <v>0</v>
      </c>
      <c r="AQ76" s="3" t="b">
        <f t="shared" si="47"/>
        <v>0</v>
      </c>
      <c r="AR76" s="1">
        <f t="shared" si="48"/>
        <v>4.9999999999998934E-2</v>
      </c>
      <c r="AS76" s="1">
        <f t="shared" si="48"/>
        <v>-0.22000000000000064</v>
      </c>
      <c r="AT76" s="3">
        <f t="shared" si="49"/>
        <v>0.26999999999999957</v>
      </c>
      <c r="AU76" s="1">
        <f>ROUND(IF($B76="NSW",L76*Meta!$B$6,L76),1)</f>
        <v>4069</v>
      </c>
      <c r="AV76" s="3">
        <f t="shared" si="31"/>
        <v>95596.3</v>
      </c>
    </row>
    <row r="77" spans="1:48" x14ac:dyDescent="0.55000000000000004">
      <c r="A77" s="2" t="s">
        <v>81</v>
      </c>
      <c r="B77" s="3" t="s">
        <v>9</v>
      </c>
      <c r="C77" s="4">
        <v>45.18</v>
      </c>
      <c r="D77" s="5">
        <v>39.06</v>
      </c>
      <c r="E77" s="5">
        <v>0</v>
      </c>
      <c r="F77" s="5">
        <v>3.63</v>
      </c>
      <c r="G77" s="5">
        <v>9.1</v>
      </c>
      <c r="H77" s="5">
        <v>3.03</v>
      </c>
      <c r="I77" s="4">
        <v>44.09</v>
      </c>
      <c r="J77" s="3">
        <v>55.91</v>
      </c>
      <c r="K77" s="4">
        <v>99648</v>
      </c>
      <c r="L77" s="5">
        <v>3780</v>
      </c>
      <c r="M77" s="3">
        <f t="shared" si="32"/>
        <v>95868</v>
      </c>
      <c r="N77" s="5">
        <f t="shared" si="33"/>
        <v>3.7933526011560692E-2</v>
      </c>
      <c r="O77" s="4">
        <f>ROUND($C77+MIN($D77:$E77)*(1-SUMIFS(PrefFlows!$C:$C,PrefFlows!$A:$A,INDEX($D$1:$E$1,MATCH(MIN($D77:$E77),$D77:$E77,0)),PrefFlows!$B:$B,$B77)),2)</f>
        <v>45.18</v>
      </c>
      <c r="P77" s="5">
        <f>ROUND(MAX($D77:$E77)+MIN($D77:$E77)*SUMIFS(PrefFlows!$C:$C,PrefFlows!$A:$A,INDEX($D$1:$E$1,MATCH(MIN($D77:$E77),$D77:$E77,0)),PrefFlows!$B:$B,$B77),2)</f>
        <v>39.06</v>
      </c>
      <c r="Q77" s="5">
        <f t="shared" si="34"/>
        <v>3.63</v>
      </c>
      <c r="R77" s="5">
        <f t="shared" si="35"/>
        <v>9.1</v>
      </c>
      <c r="S77" s="3">
        <f t="shared" si="36"/>
        <v>3.03</v>
      </c>
      <c r="T77" s="6">
        <f t="shared" si="37"/>
        <v>-6.12</v>
      </c>
      <c r="U77" s="4">
        <f>ROUND($Q77*SUMIFS(PrefFlows!$C:$C,PrefFlows!$A:$A,$Q$1,PrefFlows!$B:$B,$B77)+$R77*SUMIFS(PrefFlows!$C:$C,PrefFlows!$A:$A,$R$1,PrefFlows!$B:$B,$B77)+$S77*SUMIFS(PrefFlows!$C:$C,PrefFlows!$A:$A,$S$1,PrefFlows!$B:$B,$B77),2)</f>
        <v>5.39</v>
      </c>
      <c r="V77" s="3">
        <f>ROUND($Q77*(1-SUMIFS(PrefFlows!$C:$C,PrefFlows!$A:$A,$Q$1,PrefFlows!$B:$B,$B77))+$R77*(1-SUMIFS(PrefFlows!$C:$C,PrefFlows!$A:$A,$R$1,PrefFlows!$B:$B,$B77))+$S77*(1-SUMIFS(PrefFlows!$C:$C,PrefFlows!$A:$A,$S$1,PrefFlows!$B:$B,$B77)),2)</f>
        <v>10.37</v>
      </c>
      <c r="W77" s="4">
        <f t="shared" si="38"/>
        <v>5.03</v>
      </c>
      <c r="X77" s="3">
        <f t="shared" si="39"/>
        <v>10.73</v>
      </c>
      <c r="Y77" s="4">
        <f t="shared" si="40"/>
        <v>0.34200000000000003</v>
      </c>
      <c r="Z77" s="5">
        <f t="shared" si="41"/>
        <v>0.31919999999999998</v>
      </c>
      <c r="AA77" s="5">
        <f t="shared" si="42"/>
        <v>-2.2800000000000001E-2</v>
      </c>
      <c r="AB77" s="3">
        <v>1.6762841120157801E-2</v>
      </c>
      <c r="AC77" s="4">
        <f>ROUND(Q77*(1-(Exhaust!$B$2+AB77)),2)</f>
        <v>1.54</v>
      </c>
      <c r="AD77" s="5">
        <f>ROUND(R77*(1-(Exhaust!$B$3+$AB77)),2)</f>
        <v>5.31</v>
      </c>
      <c r="AE77" s="3">
        <f>ROUND(S77*(1-(Exhaust!$B$4+$AB77)),2)</f>
        <v>1.46</v>
      </c>
      <c r="AF77" s="4">
        <f>ROUND($AC77*(SUMIFS(PrefFlows!$C:$C,PrefFlows!$A:$A,$Q$1,PrefFlows!$B:$B,$B77)+$AA77)+$AD77*(SUMIFS(PrefFlows!$C:$C,PrefFlows!$A:$A,$R$1,PrefFlows!$B:$B,$B77)+$AA77)+$AE77*(SUMIFS(PrefFlows!$C:$C,PrefFlows!$A:$A,$S$1,PrefFlows!$B:$B,$B77)+$AA77),2)</f>
        <v>2.42</v>
      </c>
      <c r="AG77" s="3">
        <f>ROUND($AC77*(1-(SUMIFS(PrefFlows!$C:$C,PrefFlows!$A:$A,$Q$1,PrefFlows!$B:$B,$B77)+$AA77))+$AD77*(1-(SUMIFS(PrefFlows!$C:$C,PrefFlows!$A:$A,$R$1,PrefFlows!$B:$B,$B77)+$AA77))+$AE77*(1-(SUMIFS(PrefFlows!$C:$C,PrefFlows!$A:$A,$S$1,PrefFlows!$B:$B,$B77)+$AA77)),2)</f>
        <v>5.89</v>
      </c>
      <c r="AH77" s="4">
        <f t="shared" si="43"/>
        <v>41.48</v>
      </c>
      <c r="AI77" s="3">
        <f t="shared" si="44"/>
        <v>51.07</v>
      </c>
      <c r="AJ77" s="4">
        <f t="shared" si="45"/>
        <v>44.82</v>
      </c>
      <c r="AK77" s="3">
        <f t="shared" si="45"/>
        <v>55.18</v>
      </c>
      <c r="AL77" s="1">
        <f t="shared" si="28"/>
        <v>-5.91</v>
      </c>
      <c r="AM77" s="1">
        <f t="shared" si="29"/>
        <v>-4.91</v>
      </c>
      <c r="AN77" s="3">
        <f t="shared" si="30"/>
        <v>-5.18</v>
      </c>
      <c r="AO77" s="1" t="b">
        <f t="shared" si="46"/>
        <v>0</v>
      </c>
      <c r="AP77" s="1" t="b">
        <f t="shared" si="46"/>
        <v>0</v>
      </c>
      <c r="AQ77" s="3" t="b">
        <f t="shared" si="47"/>
        <v>0</v>
      </c>
      <c r="AR77" s="1">
        <f t="shared" si="48"/>
        <v>1</v>
      </c>
      <c r="AS77" s="1">
        <f t="shared" si="48"/>
        <v>0.73000000000000043</v>
      </c>
      <c r="AT77" s="3">
        <f t="shared" si="49"/>
        <v>0.26999999999999957</v>
      </c>
      <c r="AU77" s="1">
        <f>ROUND(IF($B77="NSW",L77*Meta!$B$6,L77),1)</f>
        <v>3780</v>
      </c>
      <c r="AV77" s="3">
        <f t="shared" si="31"/>
        <v>96712.7</v>
      </c>
    </row>
    <row r="78" spans="1:48" x14ac:dyDescent="0.55000000000000004">
      <c r="A78" s="2" t="s">
        <v>82</v>
      </c>
      <c r="B78" s="3" t="s">
        <v>12</v>
      </c>
      <c r="C78" s="4">
        <v>30.46</v>
      </c>
      <c r="D78" s="5">
        <v>53.16</v>
      </c>
      <c r="E78" s="5">
        <v>0</v>
      </c>
      <c r="F78" s="5">
        <v>2.48</v>
      </c>
      <c r="G78" s="5">
        <v>6.94</v>
      </c>
      <c r="H78" s="5">
        <v>6.96</v>
      </c>
      <c r="I78" s="4">
        <v>59.85</v>
      </c>
      <c r="J78" s="3">
        <v>40.15</v>
      </c>
      <c r="K78" s="4">
        <v>100699</v>
      </c>
      <c r="L78" s="5">
        <v>5208</v>
      </c>
      <c r="M78" s="3">
        <f t="shared" si="32"/>
        <v>95491</v>
      </c>
      <c r="N78" s="5">
        <f t="shared" si="33"/>
        <v>5.1718487770484316E-2</v>
      </c>
      <c r="O78" s="4">
        <f>ROUND($C78+MIN($D78:$E78)*(1-SUMIFS(PrefFlows!$C:$C,PrefFlows!$A:$A,INDEX($D$1:$E$1,MATCH(MIN($D78:$E78),$D78:$E78,0)),PrefFlows!$B:$B,$B78)),2)</f>
        <v>30.46</v>
      </c>
      <c r="P78" s="5">
        <f>ROUND(MAX($D78:$E78)+MIN($D78:$E78)*SUMIFS(PrefFlows!$C:$C,PrefFlows!$A:$A,INDEX($D$1:$E$1,MATCH(MIN($D78:$E78),$D78:$E78,0)),PrefFlows!$B:$B,$B78),2)</f>
        <v>53.16</v>
      </c>
      <c r="Q78" s="5">
        <f t="shared" si="34"/>
        <v>2.48</v>
      </c>
      <c r="R78" s="5">
        <f t="shared" si="35"/>
        <v>6.94</v>
      </c>
      <c r="S78" s="3">
        <f t="shared" si="36"/>
        <v>6.96</v>
      </c>
      <c r="T78" s="6">
        <f t="shared" si="37"/>
        <v>22.7</v>
      </c>
      <c r="U78" s="4">
        <f>ROUND($Q78*SUMIFS(PrefFlows!$C:$C,PrefFlows!$A:$A,$Q$1,PrefFlows!$B:$B,$B78)+$R78*SUMIFS(PrefFlows!$C:$C,PrefFlows!$A:$A,$R$1,PrefFlows!$B:$B,$B78)+$S78*SUMIFS(PrefFlows!$C:$C,PrefFlows!$A:$A,$S$1,PrefFlows!$B:$B,$B78),2)</f>
        <v>6.47</v>
      </c>
      <c r="V78" s="3">
        <f>ROUND($Q78*(1-SUMIFS(PrefFlows!$C:$C,PrefFlows!$A:$A,$Q$1,PrefFlows!$B:$B,$B78))+$R78*(1-SUMIFS(PrefFlows!$C:$C,PrefFlows!$A:$A,$R$1,PrefFlows!$B:$B,$B78))+$S78*(1-SUMIFS(PrefFlows!$C:$C,PrefFlows!$A:$A,$S$1,PrefFlows!$B:$B,$B78)),2)</f>
        <v>9.91</v>
      </c>
      <c r="W78" s="4">
        <f t="shared" si="38"/>
        <v>6.69</v>
      </c>
      <c r="X78" s="3">
        <f t="shared" si="39"/>
        <v>9.69</v>
      </c>
      <c r="Y78" s="4">
        <f t="shared" si="40"/>
        <v>0.39500000000000002</v>
      </c>
      <c r="Z78" s="5">
        <f t="shared" si="41"/>
        <v>0.40839999999999999</v>
      </c>
      <c r="AA78" s="5">
        <f t="shared" si="42"/>
        <v>1.34E-2</v>
      </c>
      <c r="AB78" s="3">
        <v>3.2460664631077401E-4</v>
      </c>
      <c r="AC78" s="4">
        <f>ROUND(Q78*(1-(Exhaust!$B$2+AB78)),2)</f>
        <v>1.0900000000000001</v>
      </c>
      <c r="AD78" s="5">
        <f>ROUND(R78*(1-(Exhaust!$B$3+$AB78)),2)</f>
        <v>4.16</v>
      </c>
      <c r="AE78" s="3">
        <f>ROUND(S78*(1-(Exhaust!$B$4+$AB78)),2)</f>
        <v>3.48</v>
      </c>
      <c r="AF78" s="4">
        <f>ROUND($AC78*(SUMIFS(PrefFlows!$C:$C,PrefFlows!$A:$A,$Q$1,PrefFlows!$B:$B,$B78)+$AA78)+$AD78*(SUMIFS(PrefFlows!$C:$C,PrefFlows!$A:$A,$R$1,PrefFlows!$B:$B,$B78)+$AA78)+$AE78*(SUMIFS(PrefFlows!$C:$C,PrefFlows!$A:$A,$S$1,PrefFlows!$B:$B,$B78)+$AA78),2)</f>
        <v>3.38</v>
      </c>
      <c r="AG78" s="3">
        <f>ROUND($AC78*(1-(SUMIFS(PrefFlows!$C:$C,PrefFlows!$A:$A,$Q$1,PrefFlows!$B:$B,$B78)+$AA78))+$AD78*(1-(SUMIFS(PrefFlows!$C:$C,PrefFlows!$A:$A,$R$1,PrefFlows!$B:$B,$B78)+$AA78))+$AE78*(1-(SUMIFS(PrefFlows!$C:$C,PrefFlows!$A:$A,$S$1,PrefFlows!$B:$B,$B78)+$AA78)),2)</f>
        <v>5.35</v>
      </c>
      <c r="AH78" s="4">
        <f t="shared" si="43"/>
        <v>56.54</v>
      </c>
      <c r="AI78" s="3">
        <f t="shared" si="44"/>
        <v>35.81</v>
      </c>
      <c r="AJ78" s="4">
        <f t="shared" si="45"/>
        <v>61.22</v>
      </c>
      <c r="AK78" s="3">
        <f t="shared" si="45"/>
        <v>38.78</v>
      </c>
      <c r="AL78" s="1">
        <f t="shared" si="28"/>
        <v>9.85</v>
      </c>
      <c r="AM78" s="1">
        <f t="shared" si="29"/>
        <v>11.47</v>
      </c>
      <c r="AN78" s="3">
        <f t="shared" si="30"/>
        <v>11.22</v>
      </c>
      <c r="AO78" s="1" t="b">
        <f t="shared" si="46"/>
        <v>0</v>
      </c>
      <c r="AP78" s="1" t="b">
        <f t="shared" si="46"/>
        <v>0</v>
      </c>
      <c r="AQ78" s="3" t="b">
        <f t="shared" si="47"/>
        <v>0</v>
      </c>
      <c r="AR78" s="1">
        <f t="shared" si="48"/>
        <v>1.620000000000001</v>
      </c>
      <c r="AS78" s="1">
        <f t="shared" si="48"/>
        <v>1.370000000000001</v>
      </c>
      <c r="AT78" s="3">
        <f t="shared" si="49"/>
        <v>0.25</v>
      </c>
      <c r="AU78" s="1">
        <f>ROUND(IF($B78="NSW",L78*Meta!$B$6,L78),1)</f>
        <v>3463.3</v>
      </c>
      <c r="AV78" s="3">
        <f t="shared" si="31"/>
        <v>98009.600000000006</v>
      </c>
    </row>
    <row r="79" spans="1:48" x14ac:dyDescent="0.55000000000000004">
      <c r="A79" s="2" t="s">
        <v>83</v>
      </c>
      <c r="B79" s="3" t="s">
        <v>12</v>
      </c>
      <c r="C79" s="4">
        <v>26.57</v>
      </c>
      <c r="D79" s="5">
        <v>53.29</v>
      </c>
      <c r="E79" s="5">
        <v>0</v>
      </c>
      <c r="F79" s="5">
        <v>4.82</v>
      </c>
      <c r="G79" s="5">
        <v>5.0999999999999996</v>
      </c>
      <c r="H79" s="5">
        <v>10.220000000000001</v>
      </c>
      <c r="I79" s="4">
        <v>62.99</v>
      </c>
      <c r="J79" s="3">
        <v>37.01</v>
      </c>
      <c r="K79" s="4">
        <v>109522</v>
      </c>
      <c r="L79" s="5">
        <v>7080</v>
      </c>
      <c r="M79" s="3">
        <f t="shared" si="32"/>
        <v>102442</v>
      </c>
      <c r="N79" s="5">
        <f t="shared" si="33"/>
        <v>6.4644546301199757E-2</v>
      </c>
      <c r="O79" s="4">
        <f>ROUND($C79+MIN($D79:$E79)*(1-SUMIFS(PrefFlows!$C:$C,PrefFlows!$A:$A,INDEX($D$1:$E$1,MATCH(MIN($D79:$E79),$D79:$E79,0)),PrefFlows!$B:$B,$B79)),2)</f>
        <v>26.57</v>
      </c>
      <c r="P79" s="5">
        <f>ROUND(MAX($D79:$E79)+MIN($D79:$E79)*SUMIFS(PrefFlows!$C:$C,PrefFlows!$A:$A,INDEX($D$1:$E$1,MATCH(MIN($D79:$E79),$D79:$E79,0)),PrefFlows!$B:$B,$B79),2)</f>
        <v>53.29</v>
      </c>
      <c r="Q79" s="5">
        <f t="shared" si="34"/>
        <v>4.82</v>
      </c>
      <c r="R79" s="5">
        <f t="shared" si="35"/>
        <v>5.0999999999999996</v>
      </c>
      <c r="S79" s="3">
        <f t="shared" si="36"/>
        <v>10.220000000000001</v>
      </c>
      <c r="T79" s="6">
        <f t="shared" si="37"/>
        <v>26.72</v>
      </c>
      <c r="U79" s="4">
        <f>ROUND($Q79*SUMIFS(PrefFlows!$C:$C,PrefFlows!$A:$A,$Q$1,PrefFlows!$B:$B,$B79)+$R79*SUMIFS(PrefFlows!$C:$C,PrefFlows!$A:$A,$R$1,PrefFlows!$B:$B,$B79)+$S79*SUMIFS(PrefFlows!$C:$C,PrefFlows!$A:$A,$S$1,PrefFlows!$B:$B,$B79),2)</f>
        <v>9.34</v>
      </c>
      <c r="V79" s="3">
        <f>ROUND($Q79*(1-SUMIFS(PrefFlows!$C:$C,PrefFlows!$A:$A,$Q$1,PrefFlows!$B:$B,$B79))+$R79*(1-SUMIFS(PrefFlows!$C:$C,PrefFlows!$A:$A,$R$1,PrefFlows!$B:$B,$B79))+$S79*(1-SUMIFS(PrefFlows!$C:$C,PrefFlows!$A:$A,$S$1,PrefFlows!$B:$B,$B79)),2)</f>
        <v>10.8</v>
      </c>
      <c r="W79" s="4">
        <f t="shared" si="38"/>
        <v>9.6999999999999993</v>
      </c>
      <c r="X79" s="3">
        <f t="shared" si="39"/>
        <v>10.44</v>
      </c>
      <c r="Y79" s="4">
        <f t="shared" si="40"/>
        <v>0.46379999999999999</v>
      </c>
      <c r="Z79" s="5">
        <f t="shared" si="41"/>
        <v>0.48159999999999997</v>
      </c>
      <c r="AA79" s="5">
        <f t="shared" si="42"/>
        <v>1.78E-2</v>
      </c>
      <c r="AB79" s="3">
        <v>4.0372318213525799E-2</v>
      </c>
      <c r="AC79" s="4">
        <f>ROUND(Q79*(1-(Exhaust!$B$2+AB79)),2)</f>
        <v>1.93</v>
      </c>
      <c r="AD79" s="5">
        <f>ROUND(R79*(1-(Exhaust!$B$3+$AB79)),2)</f>
        <v>2.85</v>
      </c>
      <c r="AE79" s="3">
        <f>ROUND(S79*(1-(Exhaust!$B$4+$AB79)),2)</f>
        <v>4.7</v>
      </c>
      <c r="AF79" s="4">
        <f>ROUND($AC79*(SUMIFS(PrefFlows!$C:$C,PrefFlows!$A:$A,$Q$1,PrefFlows!$B:$B,$B79)+$AA79)+$AD79*(SUMIFS(PrefFlows!$C:$C,PrefFlows!$A:$A,$R$1,PrefFlows!$B:$B,$B79)+$AA79)+$AE79*(SUMIFS(PrefFlows!$C:$C,PrefFlows!$A:$A,$S$1,PrefFlows!$B:$B,$B79)+$AA79),2)</f>
        <v>4.37</v>
      </c>
      <c r="AG79" s="3">
        <f>ROUND($AC79*(1-(SUMIFS(PrefFlows!$C:$C,PrefFlows!$A:$A,$Q$1,PrefFlows!$B:$B,$B79)+$AA79))+$AD79*(1-(SUMIFS(PrefFlows!$C:$C,PrefFlows!$A:$A,$R$1,PrefFlows!$B:$B,$B79)+$AA79))+$AE79*(1-(SUMIFS(PrefFlows!$C:$C,PrefFlows!$A:$A,$S$1,PrefFlows!$B:$B,$B79)+$AA79)),2)</f>
        <v>5.1100000000000003</v>
      </c>
      <c r="AH79" s="4">
        <f t="shared" si="43"/>
        <v>57.66</v>
      </c>
      <c r="AI79" s="3">
        <f t="shared" si="44"/>
        <v>31.68</v>
      </c>
      <c r="AJ79" s="4">
        <f t="shared" si="45"/>
        <v>64.540000000000006</v>
      </c>
      <c r="AK79" s="3">
        <f t="shared" si="45"/>
        <v>35.46</v>
      </c>
      <c r="AL79" s="1">
        <f t="shared" si="28"/>
        <v>12.99</v>
      </c>
      <c r="AM79" s="1">
        <f t="shared" si="29"/>
        <v>14.58</v>
      </c>
      <c r="AN79" s="3">
        <f t="shared" si="30"/>
        <v>14.54</v>
      </c>
      <c r="AO79" s="1" t="b">
        <f t="shared" si="46"/>
        <v>0</v>
      </c>
      <c r="AP79" s="1" t="b">
        <f t="shared" si="46"/>
        <v>0</v>
      </c>
      <c r="AQ79" s="3" t="b">
        <f t="shared" si="47"/>
        <v>0</v>
      </c>
      <c r="AR79" s="1">
        <f t="shared" si="48"/>
        <v>1.5899999999999999</v>
      </c>
      <c r="AS79" s="1">
        <f t="shared" si="48"/>
        <v>1.5499999999999989</v>
      </c>
      <c r="AT79" s="3">
        <f t="shared" si="49"/>
        <v>4.0000000000000924E-2</v>
      </c>
      <c r="AU79" s="1">
        <f>ROUND(IF($B79="NSW",L79*Meta!$B$6,L79),1)</f>
        <v>4708.2</v>
      </c>
      <c r="AV79" s="3">
        <f t="shared" si="31"/>
        <v>105865.9</v>
      </c>
    </row>
    <row r="80" spans="1:48" x14ac:dyDescent="0.55000000000000004">
      <c r="A80" s="2" t="s">
        <v>84</v>
      </c>
      <c r="B80" s="3" t="s">
        <v>12</v>
      </c>
      <c r="C80" s="4">
        <v>37.57</v>
      </c>
      <c r="D80" s="5">
        <v>0</v>
      </c>
      <c r="E80" s="5">
        <v>23.47</v>
      </c>
      <c r="F80" s="5">
        <v>25.91</v>
      </c>
      <c r="G80" s="5">
        <v>6.87</v>
      </c>
      <c r="H80" s="5">
        <v>6.18</v>
      </c>
      <c r="I80" s="4">
        <v>47.02</v>
      </c>
      <c r="J80" s="3">
        <v>52.98</v>
      </c>
      <c r="K80" s="4">
        <v>112075</v>
      </c>
      <c r="L80" s="5">
        <v>10049</v>
      </c>
      <c r="M80" s="3">
        <f t="shared" si="32"/>
        <v>102026</v>
      </c>
      <c r="N80" s="5">
        <f t="shared" si="33"/>
        <v>8.966317198304706E-2</v>
      </c>
      <c r="O80" s="4">
        <f>ROUND($C80+MIN($D80:$E80)*(1-SUMIFS(PrefFlows!$C:$C,PrefFlows!$A:$A,INDEX($D$1:$E$1,MATCH(MIN($D80:$E80),$D80:$E80,0)),PrefFlows!$B:$B,$B80)),2)</f>
        <v>37.57</v>
      </c>
      <c r="P80" s="5">
        <f>ROUND(MAX($D80:$E80)+MIN($D80:$E80)*SUMIFS(PrefFlows!$C:$C,PrefFlows!$A:$A,INDEX($D$1:$E$1,MATCH(MIN($D80:$E80),$D80:$E80,0)),PrefFlows!$B:$B,$B80),2)</f>
        <v>23.47</v>
      </c>
      <c r="Q80" s="5">
        <f t="shared" si="34"/>
        <v>25.91</v>
      </c>
      <c r="R80" s="5">
        <f t="shared" si="35"/>
        <v>6.87</v>
      </c>
      <c r="S80" s="3">
        <f t="shared" si="36"/>
        <v>6.18</v>
      </c>
      <c r="T80" s="6">
        <f t="shared" si="37"/>
        <v>-14.1</v>
      </c>
      <c r="U80" s="4">
        <f>ROUND($Q80*SUMIFS(PrefFlows!$C:$C,PrefFlows!$A:$A,$Q$1,PrefFlows!$B:$B,$B80)+$R80*SUMIFS(PrefFlows!$C:$C,PrefFlows!$A:$A,$R$1,PrefFlows!$B:$B,$B80)+$S80*SUMIFS(PrefFlows!$C:$C,PrefFlows!$A:$A,$S$1,PrefFlows!$B:$B,$B80),2)</f>
        <v>21.12</v>
      </c>
      <c r="V80" s="3">
        <f>ROUND($Q80*(1-SUMIFS(PrefFlows!$C:$C,PrefFlows!$A:$A,$Q$1,PrefFlows!$B:$B,$B80))+$R80*(1-SUMIFS(PrefFlows!$C:$C,PrefFlows!$A:$A,$R$1,PrefFlows!$B:$B,$B80))+$S80*(1-SUMIFS(PrefFlows!$C:$C,PrefFlows!$A:$A,$S$1,PrefFlows!$B:$B,$B80)),2)</f>
        <v>17.84</v>
      </c>
      <c r="W80" s="4">
        <f t="shared" si="38"/>
        <v>23.55</v>
      </c>
      <c r="X80" s="3">
        <f t="shared" si="39"/>
        <v>15.41</v>
      </c>
      <c r="Y80" s="4">
        <f t="shared" si="40"/>
        <v>0.54210000000000003</v>
      </c>
      <c r="Z80" s="5">
        <f t="shared" si="41"/>
        <v>0.60450000000000004</v>
      </c>
      <c r="AA80" s="5">
        <f t="shared" si="42"/>
        <v>6.2399999999999997E-2</v>
      </c>
      <c r="AB80" s="3">
        <v>7.2343390930915505E-2</v>
      </c>
      <c r="AC80" s="4">
        <f>ROUND(Q80*(1-(Exhaust!$B$2+AB80)),2)</f>
        <v>9.5299999999999994</v>
      </c>
      <c r="AD80" s="5">
        <f>ROUND(R80*(1-(Exhaust!$B$3+$AB80)),2)</f>
        <v>3.63</v>
      </c>
      <c r="AE80" s="3">
        <f>ROUND(S80*(1-(Exhaust!$B$4+$AB80)),2)</f>
        <v>2.64</v>
      </c>
      <c r="AF80" s="4">
        <f>ROUND($AC80*(SUMIFS(PrefFlows!$C:$C,PrefFlows!$A:$A,$Q$1,PrefFlows!$B:$B,$B80)+$AA80)+$AD80*(SUMIFS(PrefFlows!$C:$C,PrefFlows!$A:$A,$R$1,PrefFlows!$B:$B,$B80)+$AA80)+$AE80*(SUMIFS(PrefFlows!$C:$C,PrefFlows!$A:$A,$S$1,PrefFlows!$B:$B,$B80)+$AA80),2)</f>
        <v>9.14</v>
      </c>
      <c r="AG80" s="3">
        <f>ROUND($AC80*(1-(SUMIFS(PrefFlows!$C:$C,PrefFlows!$A:$A,$Q$1,PrefFlows!$B:$B,$B80)+$AA80))+$AD80*(1-(SUMIFS(PrefFlows!$C:$C,PrefFlows!$A:$A,$R$1,PrefFlows!$B:$B,$B80)+$AA80))+$AE80*(1-(SUMIFS(PrefFlows!$C:$C,PrefFlows!$A:$A,$S$1,PrefFlows!$B:$B,$B80)+$AA80)),2)</f>
        <v>6.66</v>
      </c>
      <c r="AH80" s="4">
        <f t="shared" si="43"/>
        <v>32.61</v>
      </c>
      <c r="AI80" s="3">
        <f t="shared" si="44"/>
        <v>44.23</v>
      </c>
      <c r="AJ80" s="4">
        <f t="shared" si="45"/>
        <v>42.44</v>
      </c>
      <c r="AK80" s="3">
        <f t="shared" si="45"/>
        <v>57.56</v>
      </c>
      <c r="AL80" s="1">
        <f t="shared" si="28"/>
        <v>-2.98</v>
      </c>
      <c r="AM80" s="1">
        <f t="shared" si="29"/>
        <v>-6.07</v>
      </c>
      <c r="AN80" s="3">
        <f t="shared" si="30"/>
        <v>-7.56</v>
      </c>
      <c r="AO80" s="1" t="b">
        <f t="shared" si="46"/>
        <v>0</v>
      </c>
      <c r="AP80" s="1" t="b">
        <f t="shared" si="46"/>
        <v>0</v>
      </c>
      <c r="AQ80" s="3" t="b">
        <f t="shared" si="47"/>
        <v>0</v>
      </c>
      <c r="AR80" s="1">
        <f t="shared" si="48"/>
        <v>-3.0900000000000003</v>
      </c>
      <c r="AS80" s="1">
        <f t="shared" si="48"/>
        <v>-4.58</v>
      </c>
      <c r="AT80" s="3">
        <f t="shared" si="49"/>
        <v>1.4899999999999993</v>
      </c>
      <c r="AU80" s="1">
        <f>ROUND(IF($B80="NSW",L80*Meta!$B$6,L80),1)</f>
        <v>6682.6</v>
      </c>
      <c r="AV80" s="3">
        <f t="shared" si="31"/>
        <v>106885.7</v>
      </c>
    </row>
    <row r="81" spans="1:48" x14ac:dyDescent="0.55000000000000004">
      <c r="A81" s="2" t="s">
        <v>85</v>
      </c>
      <c r="B81" s="3" t="s">
        <v>9</v>
      </c>
      <c r="C81" s="4">
        <v>12.09</v>
      </c>
      <c r="D81" s="5">
        <v>35.090000000000003</v>
      </c>
      <c r="E81" s="5">
        <v>9.4499999999999993</v>
      </c>
      <c r="F81" s="5">
        <v>3.94</v>
      </c>
      <c r="G81" s="5">
        <v>4.21</v>
      </c>
      <c r="H81" s="5">
        <v>35.22</v>
      </c>
      <c r="I81" s="4">
        <v>62.73</v>
      </c>
      <c r="J81" s="3">
        <v>37.270000000000003</v>
      </c>
      <c r="K81" s="4">
        <v>105557</v>
      </c>
      <c r="L81" s="5">
        <v>4601</v>
      </c>
      <c r="M81" s="3">
        <f t="shared" si="32"/>
        <v>100956</v>
      </c>
      <c r="N81" s="5">
        <f t="shared" si="33"/>
        <v>4.358782458766354E-2</v>
      </c>
      <c r="O81" s="4">
        <f>ROUND($C81+MIN($D81:$E81)*(1-SUMIFS(PrefFlows!$C:$C,PrefFlows!$A:$A,INDEX($D$1:$E$1,MATCH(MIN($D81:$E81),$D81:$E81,0)),PrefFlows!$B:$B,$B81)),2)</f>
        <v>13.16</v>
      </c>
      <c r="P81" s="5">
        <f>ROUND(MAX($D81:$E81)+MIN($D81:$E81)*SUMIFS(PrefFlows!$C:$C,PrefFlows!$A:$A,INDEX($D$1:$E$1,MATCH(MIN($D81:$E81),$D81:$E81,0)),PrefFlows!$B:$B,$B81),2)</f>
        <v>43.47</v>
      </c>
      <c r="Q81" s="5">
        <f t="shared" si="34"/>
        <v>3.94</v>
      </c>
      <c r="R81" s="5">
        <f t="shared" si="35"/>
        <v>4.21</v>
      </c>
      <c r="S81" s="3">
        <f t="shared" si="36"/>
        <v>35.22</v>
      </c>
      <c r="T81" s="6">
        <f t="shared" si="37"/>
        <v>30.31</v>
      </c>
      <c r="U81" s="4">
        <f>ROUND($Q81*SUMIFS(PrefFlows!$C:$C,PrefFlows!$A:$A,$Q$1,PrefFlows!$B:$B,$B81)+$R81*SUMIFS(PrefFlows!$C:$C,PrefFlows!$A:$A,$R$1,PrefFlows!$B:$B,$B81)+$S81*SUMIFS(PrefFlows!$C:$C,PrefFlows!$A:$A,$S$1,PrefFlows!$B:$B,$B81),2)</f>
        <v>22.24</v>
      </c>
      <c r="V81" s="3">
        <f>ROUND($Q81*(1-SUMIFS(PrefFlows!$C:$C,PrefFlows!$A:$A,$Q$1,PrefFlows!$B:$B,$B81))+$R81*(1-SUMIFS(PrefFlows!$C:$C,PrefFlows!$A:$A,$R$1,PrefFlows!$B:$B,$B81))+$S81*(1-SUMIFS(PrefFlows!$C:$C,PrefFlows!$A:$A,$S$1,PrefFlows!$B:$B,$B81)),2)</f>
        <v>21.13</v>
      </c>
      <c r="W81" s="4">
        <f t="shared" si="38"/>
        <v>19.260000000000002</v>
      </c>
      <c r="X81" s="3">
        <f t="shared" si="39"/>
        <v>24.11</v>
      </c>
      <c r="Y81" s="4">
        <f t="shared" si="40"/>
        <v>0.51280000000000003</v>
      </c>
      <c r="Z81" s="5">
        <f t="shared" si="41"/>
        <v>0.44409999999999999</v>
      </c>
      <c r="AA81" s="5">
        <f t="shared" si="42"/>
        <v>-6.8699999999999997E-2</v>
      </c>
      <c r="AB81" s="3">
        <v>2.10918774742473E-2</v>
      </c>
      <c r="AC81" s="4">
        <f>ROUND(Q81*(1-(Exhaust!$B$2+AB81)),2)</f>
        <v>1.65</v>
      </c>
      <c r="AD81" s="5">
        <f>ROUND(R81*(1-(Exhaust!$B$3+$AB81)),2)</f>
        <v>2.44</v>
      </c>
      <c r="AE81" s="3">
        <f>ROUND(S81*(1-(Exhaust!$B$4+$AB81)),2)</f>
        <v>16.87</v>
      </c>
      <c r="AF81" s="4">
        <f>ROUND($AC81*(SUMIFS(PrefFlows!$C:$C,PrefFlows!$A:$A,$Q$1,PrefFlows!$B:$B,$B81)+$AA81)+$AD81*(SUMIFS(PrefFlows!$C:$C,PrefFlows!$A:$A,$R$1,PrefFlows!$B:$B,$B81)+$AA81)+$AE81*(SUMIFS(PrefFlows!$C:$C,PrefFlows!$A:$A,$S$1,PrefFlows!$B:$B,$B81)+$AA81),2)</f>
        <v>9.1300000000000008</v>
      </c>
      <c r="AG81" s="3">
        <f>ROUND($AC81*(1-(SUMIFS(PrefFlows!$C:$C,PrefFlows!$A:$A,$Q$1,PrefFlows!$B:$B,$B81)+$AA81))+$AD81*(1-(SUMIFS(PrefFlows!$C:$C,PrefFlows!$A:$A,$R$1,PrefFlows!$B:$B,$B81)+$AA81))+$AE81*(1-(SUMIFS(PrefFlows!$C:$C,PrefFlows!$A:$A,$S$1,PrefFlows!$B:$B,$B81)+$AA81)),2)</f>
        <v>11.83</v>
      </c>
      <c r="AH81" s="4">
        <f t="shared" si="43"/>
        <v>52.6</v>
      </c>
      <c r="AI81" s="3">
        <f t="shared" si="44"/>
        <v>24.99</v>
      </c>
      <c r="AJ81" s="4">
        <f t="shared" si="45"/>
        <v>67.790000000000006</v>
      </c>
      <c r="AK81" s="3">
        <f t="shared" si="45"/>
        <v>32.21</v>
      </c>
      <c r="AL81" s="1">
        <f t="shared" si="28"/>
        <v>12.73</v>
      </c>
      <c r="AM81" s="1">
        <f t="shared" si="29"/>
        <v>17.55</v>
      </c>
      <c r="AN81" s="3">
        <f t="shared" si="30"/>
        <v>17.79</v>
      </c>
      <c r="AO81" s="1" t="b">
        <f t="shared" si="46"/>
        <v>0</v>
      </c>
      <c r="AP81" s="1" t="b">
        <f t="shared" si="46"/>
        <v>0</v>
      </c>
      <c r="AQ81" s="3" t="b">
        <f t="shared" si="47"/>
        <v>0</v>
      </c>
      <c r="AR81" s="1">
        <f t="shared" si="48"/>
        <v>4.82</v>
      </c>
      <c r="AS81" s="1">
        <f t="shared" si="48"/>
        <v>5.0599999999999987</v>
      </c>
      <c r="AT81" s="3">
        <f t="shared" si="49"/>
        <v>0.23999999999999844</v>
      </c>
      <c r="AU81" s="1">
        <f>ROUND(IF($B81="NSW",L81*Meta!$B$6,L81),1)</f>
        <v>4601</v>
      </c>
      <c r="AV81" s="3">
        <f t="shared" si="31"/>
        <v>101984.2</v>
      </c>
    </row>
    <row r="82" spans="1:48" x14ac:dyDescent="0.55000000000000004">
      <c r="A82" s="2" t="s">
        <v>86</v>
      </c>
      <c r="B82" s="3" t="s">
        <v>9</v>
      </c>
      <c r="C82" s="4">
        <v>44.78</v>
      </c>
      <c r="D82" s="5">
        <v>35.200000000000003</v>
      </c>
      <c r="E82" s="5">
        <v>0</v>
      </c>
      <c r="F82" s="5">
        <v>3.94</v>
      </c>
      <c r="G82" s="5">
        <v>11.18</v>
      </c>
      <c r="H82" s="5">
        <v>4.9000000000000004</v>
      </c>
      <c r="I82" s="4">
        <v>43.57</v>
      </c>
      <c r="J82" s="3">
        <v>56.43</v>
      </c>
      <c r="K82" s="4">
        <v>101017</v>
      </c>
      <c r="L82" s="5">
        <v>4180</v>
      </c>
      <c r="M82" s="3">
        <f t="shared" si="32"/>
        <v>96837</v>
      </c>
      <c r="N82" s="5">
        <f t="shared" si="33"/>
        <v>4.1379173802429295E-2</v>
      </c>
      <c r="O82" s="4">
        <f>ROUND($C82+MIN($D82:$E82)*(1-SUMIFS(PrefFlows!$C:$C,PrefFlows!$A:$A,INDEX($D$1:$E$1,MATCH(MIN($D82:$E82),$D82:$E82,0)),PrefFlows!$B:$B,$B82)),2)</f>
        <v>44.78</v>
      </c>
      <c r="P82" s="5">
        <f>ROUND(MAX($D82:$E82)+MIN($D82:$E82)*SUMIFS(PrefFlows!$C:$C,PrefFlows!$A:$A,INDEX($D$1:$E$1,MATCH(MIN($D82:$E82),$D82:$E82,0)),PrefFlows!$B:$B,$B82),2)</f>
        <v>35.200000000000003</v>
      </c>
      <c r="Q82" s="5">
        <f t="shared" si="34"/>
        <v>3.94</v>
      </c>
      <c r="R82" s="5">
        <f t="shared" si="35"/>
        <v>11.18</v>
      </c>
      <c r="S82" s="3">
        <f t="shared" si="36"/>
        <v>4.9000000000000004</v>
      </c>
      <c r="T82" s="6">
        <f t="shared" si="37"/>
        <v>-9.58</v>
      </c>
      <c r="U82" s="4">
        <f>ROUND($Q82*SUMIFS(PrefFlows!$C:$C,PrefFlows!$A:$A,$Q$1,PrefFlows!$B:$B,$B82)+$R82*SUMIFS(PrefFlows!$C:$C,PrefFlows!$A:$A,$R$1,PrefFlows!$B:$B,$B82)+$S82*SUMIFS(PrefFlows!$C:$C,PrefFlows!$A:$A,$S$1,PrefFlows!$B:$B,$B82),2)</f>
        <v>6.93</v>
      </c>
      <c r="V82" s="3">
        <f>ROUND($Q82*(1-SUMIFS(PrefFlows!$C:$C,PrefFlows!$A:$A,$Q$1,PrefFlows!$B:$B,$B82))+$R82*(1-SUMIFS(PrefFlows!$C:$C,PrefFlows!$A:$A,$R$1,PrefFlows!$B:$B,$B82))+$S82*(1-SUMIFS(PrefFlows!$C:$C,PrefFlows!$A:$A,$S$1,PrefFlows!$B:$B,$B82)),2)</f>
        <v>13.09</v>
      </c>
      <c r="W82" s="4">
        <f t="shared" si="38"/>
        <v>8.3699999999999992</v>
      </c>
      <c r="X82" s="3">
        <f t="shared" si="39"/>
        <v>11.65</v>
      </c>
      <c r="Y82" s="4">
        <f t="shared" si="40"/>
        <v>0.34620000000000001</v>
      </c>
      <c r="Z82" s="5">
        <f t="shared" si="41"/>
        <v>0.41810000000000003</v>
      </c>
      <c r="AA82" s="5">
        <f t="shared" si="42"/>
        <v>7.1900000000000006E-2</v>
      </c>
      <c r="AB82" s="3">
        <v>1.6423479251418599E-2</v>
      </c>
      <c r="AC82" s="4">
        <f>ROUND(Q82*(1-(Exhaust!$B$2+AB82)),2)</f>
        <v>1.67</v>
      </c>
      <c r="AD82" s="5">
        <f>ROUND(R82*(1-(Exhaust!$B$3+$AB82)),2)</f>
        <v>6.52</v>
      </c>
      <c r="AE82" s="3">
        <f>ROUND(S82*(1-(Exhaust!$B$4+$AB82)),2)</f>
        <v>2.37</v>
      </c>
      <c r="AF82" s="4">
        <f>ROUND($AC82*(SUMIFS(PrefFlows!$C:$C,PrefFlows!$A:$A,$Q$1,PrefFlows!$B:$B,$B82)+$AA82)+$AD82*(SUMIFS(PrefFlows!$C:$C,PrefFlows!$A:$A,$R$1,PrefFlows!$B:$B,$B82)+$AA82)+$AE82*(SUMIFS(PrefFlows!$C:$C,PrefFlows!$A:$A,$S$1,PrefFlows!$B:$B,$B82)+$AA82),2)</f>
        <v>4.13</v>
      </c>
      <c r="AG82" s="3">
        <f>ROUND($AC82*(1-(SUMIFS(PrefFlows!$C:$C,PrefFlows!$A:$A,$Q$1,PrefFlows!$B:$B,$B82)+$AA82))+$AD82*(1-(SUMIFS(PrefFlows!$C:$C,PrefFlows!$A:$A,$R$1,PrefFlows!$B:$B,$B82)+$AA82))+$AE82*(1-(SUMIFS(PrefFlows!$C:$C,PrefFlows!$A:$A,$S$1,PrefFlows!$B:$B,$B82)+$AA82)),2)</f>
        <v>6.43</v>
      </c>
      <c r="AH82" s="4">
        <f t="shared" si="43"/>
        <v>39.33</v>
      </c>
      <c r="AI82" s="3">
        <f t="shared" si="44"/>
        <v>51.21</v>
      </c>
      <c r="AJ82" s="4">
        <f t="shared" si="45"/>
        <v>43.44</v>
      </c>
      <c r="AK82" s="3">
        <f t="shared" si="45"/>
        <v>56.56</v>
      </c>
      <c r="AL82" s="1">
        <f t="shared" si="28"/>
        <v>-6.43</v>
      </c>
      <c r="AM82" s="1">
        <f t="shared" si="29"/>
        <v>-6.24</v>
      </c>
      <c r="AN82" s="3">
        <f t="shared" si="30"/>
        <v>-6.56</v>
      </c>
      <c r="AO82" s="1" t="b">
        <f t="shared" si="46"/>
        <v>0</v>
      </c>
      <c r="AP82" s="1" t="b">
        <f t="shared" si="46"/>
        <v>0</v>
      </c>
      <c r="AQ82" s="3" t="b">
        <f t="shared" si="47"/>
        <v>0</v>
      </c>
      <c r="AR82" s="1">
        <f t="shared" si="48"/>
        <v>0.1899999999999995</v>
      </c>
      <c r="AS82" s="1">
        <f t="shared" si="48"/>
        <v>-0.12999999999999989</v>
      </c>
      <c r="AT82" s="3">
        <f t="shared" si="49"/>
        <v>0.3199999999999994</v>
      </c>
      <c r="AU82" s="1">
        <f>ROUND(IF($B82="NSW",L82*Meta!$B$6,L82),1)</f>
        <v>4180</v>
      </c>
      <c r="AV82" s="3">
        <f t="shared" si="31"/>
        <v>97771.1</v>
      </c>
    </row>
    <row r="83" spans="1:48" x14ac:dyDescent="0.55000000000000004">
      <c r="A83" s="2" t="s">
        <v>87</v>
      </c>
      <c r="B83" s="3" t="s">
        <v>9</v>
      </c>
      <c r="C83" s="4">
        <v>42.02</v>
      </c>
      <c r="D83" s="5">
        <v>38.619999999999997</v>
      </c>
      <c r="E83" s="5">
        <v>0</v>
      </c>
      <c r="F83" s="5">
        <v>3.74</v>
      </c>
      <c r="G83" s="5">
        <v>14.25</v>
      </c>
      <c r="H83" s="5">
        <v>1.38</v>
      </c>
      <c r="I83" s="4">
        <v>43.43</v>
      </c>
      <c r="J83" s="3">
        <v>56.57</v>
      </c>
      <c r="K83" s="4">
        <v>100936</v>
      </c>
      <c r="L83" s="5">
        <v>3169</v>
      </c>
      <c r="M83" s="3">
        <f t="shared" si="32"/>
        <v>97767</v>
      </c>
      <c r="N83" s="5">
        <f t="shared" si="33"/>
        <v>3.1396132202583818E-2</v>
      </c>
      <c r="O83" s="4">
        <f>ROUND($C83+MIN($D83:$E83)*(1-SUMIFS(PrefFlows!$C:$C,PrefFlows!$A:$A,INDEX($D$1:$E$1,MATCH(MIN($D83:$E83),$D83:$E83,0)),PrefFlows!$B:$B,$B83)),2)</f>
        <v>42.02</v>
      </c>
      <c r="P83" s="5">
        <f>ROUND(MAX($D83:$E83)+MIN($D83:$E83)*SUMIFS(PrefFlows!$C:$C,PrefFlows!$A:$A,INDEX($D$1:$E$1,MATCH(MIN($D83:$E83),$D83:$E83,0)),PrefFlows!$B:$B,$B83),2)</f>
        <v>38.619999999999997</v>
      </c>
      <c r="Q83" s="5">
        <f t="shared" si="34"/>
        <v>3.74</v>
      </c>
      <c r="R83" s="5">
        <f t="shared" si="35"/>
        <v>14.25</v>
      </c>
      <c r="S83" s="3">
        <f t="shared" si="36"/>
        <v>1.38</v>
      </c>
      <c r="T83" s="6">
        <f t="shared" si="37"/>
        <v>-3.4</v>
      </c>
      <c r="U83" s="4">
        <f>ROUND($Q83*SUMIFS(PrefFlows!$C:$C,PrefFlows!$A:$A,$Q$1,PrefFlows!$B:$B,$B83)+$R83*SUMIFS(PrefFlows!$C:$C,PrefFlows!$A:$A,$R$1,PrefFlows!$B:$B,$B83)+$S83*SUMIFS(PrefFlows!$C:$C,PrefFlows!$A:$A,$S$1,PrefFlows!$B:$B,$B83),2)</f>
        <v>5.38</v>
      </c>
      <c r="V83" s="3">
        <f>ROUND($Q83*(1-SUMIFS(PrefFlows!$C:$C,PrefFlows!$A:$A,$Q$1,PrefFlows!$B:$B,$B83))+$R83*(1-SUMIFS(PrefFlows!$C:$C,PrefFlows!$A:$A,$R$1,PrefFlows!$B:$B,$B83))+$S83*(1-SUMIFS(PrefFlows!$C:$C,PrefFlows!$A:$A,$S$1,PrefFlows!$B:$B,$B83)),2)</f>
        <v>13.99</v>
      </c>
      <c r="W83" s="4">
        <f t="shared" si="38"/>
        <v>4.8099999999999996</v>
      </c>
      <c r="X83" s="3">
        <f t="shared" si="39"/>
        <v>14.55</v>
      </c>
      <c r="Y83" s="4">
        <f t="shared" si="40"/>
        <v>0.2777</v>
      </c>
      <c r="Z83" s="5">
        <f t="shared" si="41"/>
        <v>0.2485</v>
      </c>
      <c r="AA83" s="5">
        <f t="shared" si="42"/>
        <v>-2.92E-2</v>
      </c>
      <c r="AB83" s="3">
        <v>-1.56456299150785E-2</v>
      </c>
      <c r="AC83" s="4">
        <f>ROUND(Q83*(1-(Exhaust!$B$2+AB83)),2)</f>
        <v>1.7</v>
      </c>
      <c r="AD83" s="5">
        <f>ROUND(R83*(1-(Exhaust!$B$3+$AB83)),2)</f>
        <v>8.77</v>
      </c>
      <c r="AE83" s="3">
        <f>ROUND(S83*(1-(Exhaust!$B$4+$AB83)),2)</f>
        <v>0.71</v>
      </c>
      <c r="AF83" s="4">
        <f>ROUND($AC83*(SUMIFS(PrefFlows!$C:$C,PrefFlows!$A:$A,$Q$1,PrefFlows!$B:$B,$B83)+$AA83)+$AD83*(SUMIFS(PrefFlows!$C:$C,PrefFlows!$A:$A,$R$1,PrefFlows!$B:$B,$B83)+$AA83)+$AE83*(SUMIFS(PrefFlows!$C:$C,PrefFlows!$A:$A,$S$1,PrefFlows!$B:$B,$B83)+$AA83),2)</f>
        <v>2.52</v>
      </c>
      <c r="AG83" s="3">
        <f>ROUND($AC83*(1-(SUMIFS(PrefFlows!$C:$C,PrefFlows!$A:$A,$Q$1,PrefFlows!$B:$B,$B83)+$AA83))+$AD83*(1-(SUMIFS(PrefFlows!$C:$C,PrefFlows!$A:$A,$R$1,PrefFlows!$B:$B,$B83)+$AA83))+$AE83*(1-(SUMIFS(PrefFlows!$C:$C,PrefFlows!$A:$A,$S$1,PrefFlows!$B:$B,$B83)+$AA83)),2)</f>
        <v>8.66</v>
      </c>
      <c r="AH83" s="4">
        <f t="shared" si="43"/>
        <v>41.14</v>
      </c>
      <c r="AI83" s="3">
        <f t="shared" si="44"/>
        <v>50.68</v>
      </c>
      <c r="AJ83" s="4">
        <f t="shared" si="45"/>
        <v>44.81</v>
      </c>
      <c r="AK83" s="3">
        <f t="shared" si="45"/>
        <v>55.19</v>
      </c>
      <c r="AL83" s="1">
        <f t="shared" si="28"/>
        <v>-6.57</v>
      </c>
      <c r="AM83" s="1">
        <f t="shared" si="29"/>
        <v>-4.67</v>
      </c>
      <c r="AN83" s="3">
        <f t="shared" si="30"/>
        <v>-5.19</v>
      </c>
      <c r="AO83" s="1" t="b">
        <f t="shared" si="46"/>
        <v>0</v>
      </c>
      <c r="AP83" s="1" t="b">
        <f t="shared" si="46"/>
        <v>0</v>
      </c>
      <c r="AQ83" s="3" t="b">
        <f t="shared" si="47"/>
        <v>0</v>
      </c>
      <c r="AR83" s="1">
        <f t="shared" si="48"/>
        <v>1.9000000000000004</v>
      </c>
      <c r="AS83" s="1">
        <f t="shared" si="48"/>
        <v>1.38</v>
      </c>
      <c r="AT83" s="3">
        <f t="shared" si="49"/>
        <v>0.52000000000000046</v>
      </c>
      <c r="AU83" s="1">
        <f>ROUND(IF($B83="NSW",L83*Meta!$B$6,L83),1)</f>
        <v>3169</v>
      </c>
      <c r="AV83" s="3">
        <f t="shared" si="31"/>
        <v>98475.199999999997</v>
      </c>
    </row>
    <row r="84" spans="1:48" x14ac:dyDescent="0.55000000000000004">
      <c r="A84" s="2" t="s">
        <v>88</v>
      </c>
      <c r="B84" s="3" t="s">
        <v>21</v>
      </c>
      <c r="C84" s="4">
        <v>16.98</v>
      </c>
      <c r="D84" s="5">
        <v>27.48</v>
      </c>
      <c r="E84" s="5">
        <v>0</v>
      </c>
      <c r="F84" s="5">
        <v>47.62</v>
      </c>
      <c r="G84" s="5">
        <v>5.17</v>
      </c>
      <c r="H84" s="5">
        <v>2.75</v>
      </c>
      <c r="I84" s="4">
        <v>64.510000000000005</v>
      </c>
      <c r="J84" s="3">
        <v>35.49</v>
      </c>
      <c r="K84" s="4">
        <v>95944</v>
      </c>
      <c r="L84" s="5">
        <v>3996</v>
      </c>
      <c r="M84" s="3">
        <f t="shared" si="32"/>
        <v>91948</v>
      </c>
      <c r="N84" s="5">
        <f t="shared" si="33"/>
        <v>4.1649295422329695E-2</v>
      </c>
      <c r="O84" s="4">
        <f>ROUND($C84+MIN($D84:$E84)*(1-SUMIFS(PrefFlows!$C:$C,PrefFlows!$A:$A,INDEX($D$1:$E$1,MATCH(MIN($D84:$E84),$D84:$E84,0)),PrefFlows!$B:$B,$B84)),2)</f>
        <v>16.98</v>
      </c>
      <c r="P84" s="5">
        <f>ROUND(MAX($D84:$E84)+MIN($D84:$E84)*SUMIFS(PrefFlows!$C:$C,PrefFlows!$A:$A,INDEX($D$1:$E$1,MATCH(MIN($D84:$E84),$D84:$E84,0)),PrefFlows!$B:$B,$B84),2)</f>
        <v>27.48</v>
      </c>
      <c r="Q84" s="5">
        <f t="shared" si="34"/>
        <v>47.62</v>
      </c>
      <c r="R84" s="5">
        <f t="shared" si="35"/>
        <v>5.17</v>
      </c>
      <c r="S84" s="3">
        <f t="shared" si="36"/>
        <v>2.75</v>
      </c>
      <c r="T84" s="6">
        <f t="shared" si="37"/>
        <v>10.5</v>
      </c>
      <c r="U84" s="4">
        <f>ROUND($Q84*SUMIFS(PrefFlows!$C:$C,PrefFlows!$A:$A,$Q$1,PrefFlows!$B:$B,$B84)+$R84*SUMIFS(PrefFlows!$C:$C,PrefFlows!$A:$A,$R$1,PrefFlows!$B:$B,$B84)+$S84*SUMIFS(PrefFlows!$C:$C,PrefFlows!$A:$A,$S$1,PrefFlows!$B:$B,$B84),2)</f>
        <v>34.630000000000003</v>
      </c>
      <c r="V84" s="3">
        <f>ROUND($Q84*(1-SUMIFS(PrefFlows!$C:$C,PrefFlows!$A:$A,$Q$1,PrefFlows!$B:$B,$B84))+$R84*(1-SUMIFS(PrefFlows!$C:$C,PrefFlows!$A:$A,$R$1,PrefFlows!$B:$B,$B84))+$S84*(1-SUMIFS(PrefFlows!$C:$C,PrefFlows!$A:$A,$S$1,PrefFlows!$B:$B,$B84)),2)</f>
        <v>20.91</v>
      </c>
      <c r="W84" s="4">
        <f t="shared" si="38"/>
        <v>37.03</v>
      </c>
      <c r="X84" s="3">
        <f t="shared" si="39"/>
        <v>18.510000000000002</v>
      </c>
      <c r="Y84" s="4">
        <f t="shared" si="40"/>
        <v>0.62350000000000005</v>
      </c>
      <c r="Z84" s="5">
        <f t="shared" si="41"/>
        <v>0.66669999999999996</v>
      </c>
      <c r="AA84" s="5">
        <f t="shared" si="42"/>
        <v>4.3200000000000002E-2</v>
      </c>
      <c r="AB84" s="3">
        <v>4.1792868165466901E-2</v>
      </c>
      <c r="AC84" s="4">
        <f>ROUND(Q84*(1-(Exhaust!$B$2+AB84)),2)</f>
        <v>18.96</v>
      </c>
      <c r="AD84" s="5">
        <f>ROUND(R84*(1-(Exhaust!$B$3+$AB84)),2)</f>
        <v>2.89</v>
      </c>
      <c r="AE84" s="3">
        <f>ROUND(S84*(1-(Exhaust!$B$4+$AB84)),2)</f>
        <v>1.26</v>
      </c>
      <c r="AF84" s="4">
        <f>ROUND($AC84*(SUMIFS(PrefFlows!$C:$C,PrefFlows!$A:$A,$Q$1,PrefFlows!$B:$B,$B84)+$AA84)+$AD84*(SUMIFS(PrefFlows!$C:$C,PrefFlows!$A:$A,$R$1,PrefFlows!$B:$B,$B84)+$AA84)+$AE84*(SUMIFS(PrefFlows!$C:$C,PrefFlows!$A:$A,$S$1,PrefFlows!$B:$B,$B84)+$AA84),2)</f>
        <v>15.04</v>
      </c>
      <c r="AG84" s="3">
        <f>ROUND($AC84*(1-(SUMIFS(PrefFlows!$C:$C,PrefFlows!$A:$A,$Q$1,PrefFlows!$B:$B,$B84)+$AA84))+$AD84*(1-(SUMIFS(PrefFlows!$C:$C,PrefFlows!$A:$A,$R$1,PrefFlows!$B:$B,$B84)+$AA84))+$AE84*(1-(SUMIFS(PrefFlows!$C:$C,PrefFlows!$A:$A,$S$1,PrefFlows!$B:$B,$B84)+$AA84)),2)</f>
        <v>8.07</v>
      </c>
      <c r="AH84" s="4">
        <f t="shared" si="43"/>
        <v>42.52</v>
      </c>
      <c r="AI84" s="3">
        <f t="shared" si="44"/>
        <v>25.05</v>
      </c>
      <c r="AJ84" s="4">
        <f t="shared" si="45"/>
        <v>62.93</v>
      </c>
      <c r="AK84" s="3">
        <f t="shared" si="45"/>
        <v>37.07</v>
      </c>
      <c r="AL84" s="1">
        <f t="shared" si="28"/>
        <v>14.51</v>
      </c>
      <c r="AM84" s="1">
        <f t="shared" si="29"/>
        <v>13.72</v>
      </c>
      <c r="AN84" s="3">
        <f t="shared" si="30"/>
        <v>12.93</v>
      </c>
      <c r="AO84" s="1" t="b">
        <f t="shared" si="46"/>
        <v>0</v>
      </c>
      <c r="AP84" s="1" t="b">
        <f t="shared" si="46"/>
        <v>0</v>
      </c>
      <c r="AQ84" s="3" t="b">
        <f t="shared" si="47"/>
        <v>0</v>
      </c>
      <c r="AR84" s="1">
        <f t="shared" si="48"/>
        <v>-0.78999999999999915</v>
      </c>
      <c r="AS84" s="1">
        <f t="shared" si="48"/>
        <v>-1.58</v>
      </c>
      <c r="AT84" s="3">
        <f t="shared" si="49"/>
        <v>0.79000000000000092</v>
      </c>
      <c r="AU84" s="1">
        <f>ROUND(IF($B84="NSW",L84*Meta!$B$6,L84),1)</f>
        <v>3996</v>
      </c>
      <c r="AV84" s="3">
        <f t="shared" si="31"/>
        <v>92841</v>
      </c>
    </row>
    <row r="85" spans="1:48" x14ac:dyDescent="0.55000000000000004">
      <c r="A85" s="2" t="s">
        <v>89</v>
      </c>
      <c r="B85" s="3" t="s">
        <v>12</v>
      </c>
      <c r="C85" s="4">
        <v>45.17</v>
      </c>
      <c r="D85" s="5">
        <v>36.43</v>
      </c>
      <c r="E85" s="5">
        <v>0</v>
      </c>
      <c r="F85" s="5">
        <v>1.75</v>
      </c>
      <c r="G85" s="5">
        <v>12.1</v>
      </c>
      <c r="H85" s="5">
        <v>4.5599999999999996</v>
      </c>
      <c r="I85" s="4">
        <v>41.19</v>
      </c>
      <c r="J85" s="3">
        <v>58.81</v>
      </c>
      <c r="K85" s="4">
        <v>100181</v>
      </c>
      <c r="L85" s="5">
        <v>5805</v>
      </c>
      <c r="M85" s="3">
        <f t="shared" si="32"/>
        <v>94376</v>
      </c>
      <c r="N85" s="5">
        <f t="shared" si="33"/>
        <v>5.7945119334005452E-2</v>
      </c>
      <c r="O85" s="4">
        <f>ROUND($C85+MIN($D85:$E85)*(1-SUMIFS(PrefFlows!$C:$C,PrefFlows!$A:$A,INDEX($D$1:$E$1,MATCH(MIN($D85:$E85),$D85:$E85,0)),PrefFlows!$B:$B,$B85)),2)</f>
        <v>45.17</v>
      </c>
      <c r="P85" s="5">
        <f>ROUND(MAX($D85:$E85)+MIN($D85:$E85)*SUMIFS(PrefFlows!$C:$C,PrefFlows!$A:$A,INDEX($D$1:$E$1,MATCH(MIN($D85:$E85),$D85:$E85,0)),PrefFlows!$B:$B,$B85),2)</f>
        <v>36.43</v>
      </c>
      <c r="Q85" s="5">
        <f t="shared" si="34"/>
        <v>1.75</v>
      </c>
      <c r="R85" s="5">
        <f t="shared" si="35"/>
        <v>12.1</v>
      </c>
      <c r="S85" s="3">
        <f t="shared" si="36"/>
        <v>4.5599999999999996</v>
      </c>
      <c r="T85" s="6">
        <f t="shared" si="37"/>
        <v>-8.74</v>
      </c>
      <c r="U85" s="4">
        <f>ROUND($Q85*SUMIFS(PrefFlows!$C:$C,PrefFlows!$A:$A,$Q$1,PrefFlows!$B:$B,$B85)+$R85*SUMIFS(PrefFlows!$C:$C,PrefFlows!$A:$A,$R$1,PrefFlows!$B:$B,$B85)+$S85*SUMIFS(PrefFlows!$C:$C,PrefFlows!$A:$A,$S$1,PrefFlows!$B:$B,$B85),2)</f>
        <v>5.66</v>
      </c>
      <c r="V85" s="3">
        <f>ROUND($Q85*(1-SUMIFS(PrefFlows!$C:$C,PrefFlows!$A:$A,$Q$1,PrefFlows!$B:$B,$B85))+$R85*(1-SUMIFS(PrefFlows!$C:$C,PrefFlows!$A:$A,$R$1,PrefFlows!$B:$B,$B85))+$S85*(1-SUMIFS(PrefFlows!$C:$C,PrefFlows!$A:$A,$S$1,PrefFlows!$B:$B,$B85)),2)</f>
        <v>12.75</v>
      </c>
      <c r="W85" s="4">
        <f t="shared" si="38"/>
        <v>4.76</v>
      </c>
      <c r="X85" s="3">
        <f t="shared" si="39"/>
        <v>13.64</v>
      </c>
      <c r="Y85" s="4">
        <f t="shared" si="40"/>
        <v>0.30740000000000001</v>
      </c>
      <c r="Z85" s="5">
        <f t="shared" si="41"/>
        <v>0.25869999999999999</v>
      </c>
      <c r="AA85" s="5">
        <f t="shared" si="42"/>
        <v>-4.87E-2</v>
      </c>
      <c r="AB85" s="3">
        <v>-9.5281650673824398E-3</v>
      </c>
      <c r="AC85" s="4">
        <f>ROUND(Q85*(1-(Exhaust!$B$2+AB85)),2)</f>
        <v>0.79</v>
      </c>
      <c r="AD85" s="5">
        <f>ROUND(R85*(1-(Exhaust!$B$3+$AB85)),2)</f>
        <v>7.38</v>
      </c>
      <c r="AE85" s="3">
        <f>ROUND(S85*(1-(Exhaust!$B$4+$AB85)),2)</f>
        <v>2.3199999999999998</v>
      </c>
      <c r="AF85" s="4">
        <f>ROUND($AC85*(SUMIFS(PrefFlows!$C:$C,PrefFlows!$A:$A,$Q$1,PrefFlows!$B:$B,$B85)+$AA85)+$AD85*(SUMIFS(PrefFlows!$C:$C,PrefFlows!$A:$A,$R$1,PrefFlows!$B:$B,$B85)+$AA85)+$AE85*(SUMIFS(PrefFlows!$C:$C,PrefFlows!$A:$A,$S$1,PrefFlows!$B:$B,$B85)+$AA85),2)</f>
        <v>2.52</v>
      </c>
      <c r="AG85" s="3">
        <f>ROUND($AC85*(1-(SUMIFS(PrefFlows!$C:$C,PrefFlows!$A:$A,$Q$1,PrefFlows!$B:$B,$B85)+$AA85))+$AD85*(1-(SUMIFS(PrefFlows!$C:$C,PrefFlows!$A:$A,$R$1,PrefFlows!$B:$B,$B85)+$AA85))+$AE85*(1-(SUMIFS(PrefFlows!$C:$C,PrefFlows!$A:$A,$S$1,PrefFlows!$B:$B,$B85)+$AA85)),2)</f>
        <v>7.97</v>
      </c>
      <c r="AH85" s="4">
        <f t="shared" si="43"/>
        <v>38.950000000000003</v>
      </c>
      <c r="AI85" s="3">
        <f t="shared" si="44"/>
        <v>53.14</v>
      </c>
      <c r="AJ85" s="4">
        <f t="shared" si="45"/>
        <v>42.3</v>
      </c>
      <c r="AK85" s="3">
        <f t="shared" si="45"/>
        <v>57.7</v>
      </c>
      <c r="AL85" s="1">
        <f t="shared" si="28"/>
        <v>-8.81</v>
      </c>
      <c r="AM85" s="1">
        <f t="shared" si="29"/>
        <v>-7.33</v>
      </c>
      <c r="AN85" s="3">
        <f t="shared" si="30"/>
        <v>-7.7</v>
      </c>
      <c r="AO85" s="1" t="b">
        <f t="shared" si="46"/>
        <v>0</v>
      </c>
      <c r="AP85" s="1" t="b">
        <f t="shared" si="46"/>
        <v>0</v>
      </c>
      <c r="AQ85" s="3" t="b">
        <f t="shared" si="47"/>
        <v>0</v>
      </c>
      <c r="AR85" s="1">
        <f t="shared" si="48"/>
        <v>1.4800000000000004</v>
      </c>
      <c r="AS85" s="1">
        <f t="shared" si="48"/>
        <v>1.1100000000000003</v>
      </c>
      <c r="AT85" s="3">
        <f t="shared" si="49"/>
        <v>0.37000000000000011</v>
      </c>
      <c r="AU85" s="1">
        <f>ROUND(IF($B85="NSW",L85*Meta!$B$6,L85),1)</f>
        <v>3860.3</v>
      </c>
      <c r="AV85" s="3">
        <f t="shared" si="31"/>
        <v>97183.3</v>
      </c>
    </row>
    <row r="86" spans="1:48" x14ac:dyDescent="0.55000000000000004">
      <c r="A86" s="2" t="s">
        <v>90</v>
      </c>
      <c r="B86" s="3" t="s">
        <v>7</v>
      </c>
      <c r="C86" s="4">
        <v>50.58</v>
      </c>
      <c r="D86" s="5">
        <v>31.72</v>
      </c>
      <c r="E86" s="5">
        <v>0</v>
      </c>
      <c r="F86" s="5">
        <v>4.97</v>
      </c>
      <c r="G86" s="5">
        <v>9.1999999999999993</v>
      </c>
      <c r="H86" s="5">
        <v>3.53</v>
      </c>
      <c r="I86" s="4">
        <v>38.06</v>
      </c>
      <c r="J86" s="3">
        <v>61.94</v>
      </c>
      <c r="K86" s="4">
        <v>110628</v>
      </c>
      <c r="L86" s="5">
        <v>4547</v>
      </c>
      <c r="M86" s="3">
        <f t="shared" si="32"/>
        <v>106081</v>
      </c>
      <c r="N86" s="5">
        <f t="shared" si="33"/>
        <v>4.1101710236106592E-2</v>
      </c>
      <c r="O86" s="4">
        <f>ROUND($C86+MIN($D86:$E86)*(1-SUMIFS(PrefFlows!$C:$C,PrefFlows!$A:$A,INDEX($D$1:$E$1,MATCH(MIN($D86:$E86),$D86:$E86,0)),PrefFlows!$B:$B,$B86)),2)</f>
        <v>50.58</v>
      </c>
      <c r="P86" s="5">
        <f>ROUND(MAX($D86:$E86)+MIN($D86:$E86)*SUMIFS(PrefFlows!$C:$C,PrefFlows!$A:$A,INDEX($D$1:$E$1,MATCH(MIN($D86:$E86),$D86:$E86,0)),PrefFlows!$B:$B,$B86),2)</f>
        <v>31.72</v>
      </c>
      <c r="Q86" s="5">
        <f t="shared" si="34"/>
        <v>4.97</v>
      </c>
      <c r="R86" s="5">
        <f t="shared" si="35"/>
        <v>9.1999999999999993</v>
      </c>
      <c r="S86" s="3">
        <f t="shared" si="36"/>
        <v>3.53</v>
      </c>
      <c r="T86" s="6">
        <f t="shared" si="37"/>
        <v>-18.86</v>
      </c>
      <c r="U86" s="4">
        <f>ROUND($Q86*SUMIFS(PrefFlows!$C:$C,PrefFlows!$A:$A,$Q$1,PrefFlows!$B:$B,$B86)+$R86*SUMIFS(PrefFlows!$C:$C,PrefFlows!$A:$A,$R$1,PrefFlows!$B:$B,$B86)+$S86*SUMIFS(PrefFlows!$C:$C,PrefFlows!$A:$A,$S$1,PrefFlows!$B:$B,$B86),2)</f>
        <v>6.86</v>
      </c>
      <c r="V86" s="3">
        <f>ROUND($Q86*(1-SUMIFS(PrefFlows!$C:$C,PrefFlows!$A:$A,$Q$1,PrefFlows!$B:$B,$B86))+$R86*(1-SUMIFS(PrefFlows!$C:$C,PrefFlows!$A:$A,$R$1,PrefFlows!$B:$B,$B86))+$S86*(1-SUMIFS(PrefFlows!$C:$C,PrefFlows!$A:$A,$S$1,PrefFlows!$B:$B,$B86)),2)</f>
        <v>10.84</v>
      </c>
      <c r="W86" s="4">
        <f t="shared" si="38"/>
        <v>6.34</v>
      </c>
      <c r="X86" s="3">
        <f t="shared" si="39"/>
        <v>11.36</v>
      </c>
      <c r="Y86" s="4">
        <f t="shared" si="40"/>
        <v>0.3876</v>
      </c>
      <c r="Z86" s="5">
        <f t="shared" si="41"/>
        <v>0.35820000000000002</v>
      </c>
      <c r="AA86" s="5">
        <f t="shared" si="42"/>
        <v>-2.9399999999999999E-2</v>
      </c>
      <c r="AB86" s="3">
        <v>2.1705001034745999E-2</v>
      </c>
      <c r="AC86" s="4">
        <f>ROUND(Q86*(1-(Exhaust!$B$2+AB86)),2)</f>
        <v>2.08</v>
      </c>
      <c r="AD86" s="5">
        <f>ROUND(R86*(1-(Exhaust!$B$3+$AB86)),2)</f>
        <v>5.32</v>
      </c>
      <c r="AE86" s="3">
        <f>ROUND(S86*(1-(Exhaust!$B$4+$AB86)),2)</f>
        <v>1.69</v>
      </c>
      <c r="AF86" s="4">
        <f>ROUND($AC86*(SUMIFS(PrefFlows!$C:$C,PrefFlows!$A:$A,$Q$1,PrefFlows!$B:$B,$B86)+$AA86)+$AD86*(SUMIFS(PrefFlows!$C:$C,PrefFlows!$A:$A,$R$1,PrefFlows!$B:$B,$B86)+$AA86)+$AE86*(SUMIFS(PrefFlows!$C:$C,PrefFlows!$A:$A,$S$1,PrefFlows!$B:$B,$B86)+$AA86),2)</f>
        <v>3.01</v>
      </c>
      <c r="AG86" s="3">
        <f>ROUND($AC86*(1-(SUMIFS(PrefFlows!$C:$C,PrefFlows!$A:$A,$Q$1,PrefFlows!$B:$B,$B86)+$AA86))+$AD86*(1-(SUMIFS(PrefFlows!$C:$C,PrefFlows!$A:$A,$R$1,PrefFlows!$B:$B,$B86)+$AA86))+$AE86*(1-(SUMIFS(PrefFlows!$C:$C,PrefFlows!$A:$A,$S$1,PrefFlows!$B:$B,$B86)+$AA86)),2)</f>
        <v>6.08</v>
      </c>
      <c r="AH86" s="4">
        <f t="shared" si="43"/>
        <v>34.729999999999997</v>
      </c>
      <c r="AI86" s="3">
        <f t="shared" si="44"/>
        <v>56.66</v>
      </c>
      <c r="AJ86" s="4">
        <f t="shared" si="45"/>
        <v>38</v>
      </c>
      <c r="AK86" s="3">
        <f t="shared" si="45"/>
        <v>62</v>
      </c>
      <c r="AL86" s="1">
        <f t="shared" si="28"/>
        <v>-11.94</v>
      </c>
      <c r="AM86" s="1">
        <f t="shared" si="29"/>
        <v>-11.73</v>
      </c>
      <c r="AN86" s="3">
        <f t="shared" si="30"/>
        <v>-12</v>
      </c>
      <c r="AO86" s="1" t="b">
        <f t="shared" si="46"/>
        <v>0</v>
      </c>
      <c r="AP86" s="1" t="b">
        <f t="shared" si="46"/>
        <v>0</v>
      </c>
      <c r="AQ86" s="3" t="b">
        <f t="shared" si="47"/>
        <v>0</v>
      </c>
      <c r="AR86" s="1">
        <f t="shared" si="48"/>
        <v>0.20999999999999908</v>
      </c>
      <c r="AS86" s="1">
        <f t="shared" si="48"/>
        <v>-6.0000000000000497E-2</v>
      </c>
      <c r="AT86" s="3">
        <f t="shared" si="49"/>
        <v>0.26999999999999957</v>
      </c>
      <c r="AU86" s="1">
        <f>ROUND(IF($B86="NSW",L86*Meta!$B$6,L86),1)</f>
        <v>4547</v>
      </c>
      <c r="AV86" s="3">
        <f t="shared" si="31"/>
        <v>107097.1</v>
      </c>
    </row>
    <row r="87" spans="1:48" x14ac:dyDescent="0.55000000000000004">
      <c r="A87" s="2" t="s">
        <v>91</v>
      </c>
      <c r="B87" s="3" t="s">
        <v>9</v>
      </c>
      <c r="C87" s="4">
        <v>16.829999999999998</v>
      </c>
      <c r="D87" s="5">
        <v>49.41</v>
      </c>
      <c r="E87" s="5">
        <v>0</v>
      </c>
      <c r="F87" s="5">
        <v>1.2</v>
      </c>
      <c r="G87" s="5">
        <v>21.24</v>
      </c>
      <c r="H87" s="5">
        <v>11.32</v>
      </c>
      <c r="I87" s="4">
        <v>56.68</v>
      </c>
      <c r="J87" s="3">
        <v>43.32</v>
      </c>
      <c r="K87" s="4">
        <v>102062</v>
      </c>
      <c r="L87" s="5">
        <v>3033</v>
      </c>
      <c r="M87" s="3">
        <f t="shared" si="32"/>
        <v>99029</v>
      </c>
      <c r="N87" s="5">
        <f t="shared" si="33"/>
        <v>2.9717230702906078E-2</v>
      </c>
      <c r="O87" s="4">
        <f>ROUND($C87+MIN($D87:$E87)*(1-SUMIFS(PrefFlows!$C:$C,PrefFlows!$A:$A,INDEX($D$1:$E$1,MATCH(MIN($D87:$E87),$D87:$E87,0)),PrefFlows!$B:$B,$B87)),2)</f>
        <v>16.829999999999998</v>
      </c>
      <c r="P87" s="5">
        <f>ROUND(MAX($D87:$E87)+MIN($D87:$E87)*SUMIFS(PrefFlows!$C:$C,PrefFlows!$A:$A,INDEX($D$1:$E$1,MATCH(MIN($D87:$E87),$D87:$E87,0)),PrefFlows!$B:$B,$B87),2)</f>
        <v>49.41</v>
      </c>
      <c r="Q87" s="5">
        <f t="shared" si="34"/>
        <v>1.2</v>
      </c>
      <c r="R87" s="5">
        <f t="shared" si="35"/>
        <v>21.24</v>
      </c>
      <c r="S87" s="3">
        <f t="shared" si="36"/>
        <v>11.32</v>
      </c>
      <c r="T87" s="6">
        <f t="shared" si="37"/>
        <v>32.58</v>
      </c>
      <c r="U87" s="4">
        <f>ROUND($Q87*SUMIFS(PrefFlows!$C:$C,PrefFlows!$A:$A,$Q$1,PrefFlows!$B:$B,$B87)+$R87*SUMIFS(PrefFlows!$C:$C,PrefFlows!$A:$A,$R$1,PrefFlows!$B:$B,$B87)+$S87*SUMIFS(PrefFlows!$C:$C,PrefFlows!$A:$A,$S$1,PrefFlows!$B:$B,$B87),2)</f>
        <v>10.23</v>
      </c>
      <c r="V87" s="3">
        <f>ROUND($Q87*(1-SUMIFS(PrefFlows!$C:$C,PrefFlows!$A:$A,$Q$1,PrefFlows!$B:$B,$B87))+$R87*(1-SUMIFS(PrefFlows!$C:$C,PrefFlows!$A:$A,$R$1,PrefFlows!$B:$B,$B87))+$S87*(1-SUMIFS(PrefFlows!$C:$C,PrefFlows!$A:$A,$S$1,PrefFlows!$B:$B,$B87)),2)</f>
        <v>23.53</v>
      </c>
      <c r="W87" s="4">
        <f t="shared" si="38"/>
        <v>7.27</v>
      </c>
      <c r="X87" s="3">
        <f t="shared" si="39"/>
        <v>26.49</v>
      </c>
      <c r="Y87" s="4">
        <f t="shared" si="40"/>
        <v>0.30299999999999999</v>
      </c>
      <c r="Z87" s="5">
        <f t="shared" si="41"/>
        <v>0.21529999999999999</v>
      </c>
      <c r="AA87" s="5">
        <f t="shared" si="42"/>
        <v>-8.77E-2</v>
      </c>
      <c r="AB87" s="3">
        <v>-2.0734267171671601E-2</v>
      </c>
      <c r="AC87" s="4">
        <f>ROUND(Q87*(1-(Exhaust!$B$2+AB87)),2)</f>
        <v>0.55000000000000004</v>
      </c>
      <c r="AD87" s="5">
        <f>ROUND(R87*(1-(Exhaust!$B$3+$AB87)),2)</f>
        <v>13.18</v>
      </c>
      <c r="AE87" s="3">
        <f>ROUND(S87*(1-(Exhaust!$B$4+$AB87)),2)</f>
        <v>5.89</v>
      </c>
      <c r="AF87" s="4">
        <f>ROUND($AC87*(SUMIFS(PrefFlows!$C:$C,PrefFlows!$A:$A,$Q$1,PrefFlows!$B:$B,$B87)+$AA87)+$AD87*(SUMIFS(PrefFlows!$C:$C,PrefFlows!$A:$A,$R$1,PrefFlows!$B:$B,$B87)+$AA87)+$AE87*(SUMIFS(PrefFlows!$C:$C,PrefFlows!$A:$A,$S$1,PrefFlows!$B:$B,$B87)+$AA87),2)</f>
        <v>3.89</v>
      </c>
      <c r="AG87" s="3">
        <f>ROUND($AC87*(1-(SUMIFS(PrefFlows!$C:$C,PrefFlows!$A:$A,$Q$1,PrefFlows!$B:$B,$B87)+$AA87))+$AD87*(1-(SUMIFS(PrefFlows!$C:$C,PrefFlows!$A:$A,$R$1,PrefFlows!$B:$B,$B87)+$AA87))+$AE87*(1-(SUMIFS(PrefFlows!$C:$C,PrefFlows!$A:$A,$S$1,PrefFlows!$B:$B,$B87)+$AA87)),2)</f>
        <v>15.73</v>
      </c>
      <c r="AH87" s="4">
        <f t="shared" si="43"/>
        <v>53.3</v>
      </c>
      <c r="AI87" s="3">
        <f t="shared" si="44"/>
        <v>32.56</v>
      </c>
      <c r="AJ87" s="4">
        <f t="shared" si="45"/>
        <v>62.08</v>
      </c>
      <c r="AK87" s="3">
        <f t="shared" si="45"/>
        <v>37.92</v>
      </c>
      <c r="AL87" s="1">
        <f t="shared" si="28"/>
        <v>6.68</v>
      </c>
      <c r="AM87" s="1">
        <f t="shared" si="29"/>
        <v>13.48</v>
      </c>
      <c r="AN87" s="3">
        <f t="shared" si="30"/>
        <v>12.08</v>
      </c>
      <c r="AO87" s="1" t="b">
        <f t="shared" si="46"/>
        <v>0</v>
      </c>
      <c r="AP87" s="1" t="b">
        <f t="shared" si="46"/>
        <v>0</v>
      </c>
      <c r="AQ87" s="3" t="b">
        <f t="shared" si="47"/>
        <v>0</v>
      </c>
      <c r="AR87" s="1">
        <f t="shared" si="48"/>
        <v>6.8000000000000007</v>
      </c>
      <c r="AS87" s="1">
        <f t="shared" si="48"/>
        <v>5.4</v>
      </c>
      <c r="AT87" s="3">
        <f t="shared" si="49"/>
        <v>1.4000000000000004</v>
      </c>
      <c r="AU87" s="1">
        <f>ROUND(IF($B87="NSW",L87*Meta!$B$6,L87),1)</f>
        <v>3033</v>
      </c>
      <c r="AV87" s="3">
        <f t="shared" si="31"/>
        <v>99706.8</v>
      </c>
    </row>
    <row r="88" spans="1:48" x14ac:dyDescent="0.55000000000000004">
      <c r="A88" s="2" t="s">
        <v>92</v>
      </c>
      <c r="B88" s="3" t="s">
        <v>9</v>
      </c>
      <c r="C88" s="4">
        <v>34.49</v>
      </c>
      <c r="D88" s="5">
        <v>45.72</v>
      </c>
      <c r="E88" s="5">
        <v>0</v>
      </c>
      <c r="F88" s="5">
        <v>7.4</v>
      </c>
      <c r="G88" s="5">
        <v>7.85</v>
      </c>
      <c r="H88" s="5">
        <v>4.53</v>
      </c>
      <c r="I88" s="4">
        <v>54.49</v>
      </c>
      <c r="J88" s="3">
        <v>45.51</v>
      </c>
      <c r="K88" s="4">
        <v>103305</v>
      </c>
      <c r="L88" s="5">
        <v>4616</v>
      </c>
      <c r="M88" s="3">
        <f t="shared" si="32"/>
        <v>98689</v>
      </c>
      <c r="N88" s="5">
        <f t="shared" si="33"/>
        <v>4.4683219592468904E-2</v>
      </c>
      <c r="O88" s="4">
        <f>ROUND($C88+MIN($D88:$E88)*(1-SUMIFS(PrefFlows!$C:$C,PrefFlows!$A:$A,INDEX($D$1:$E$1,MATCH(MIN($D88:$E88),$D88:$E88,0)),PrefFlows!$B:$B,$B88)),2)</f>
        <v>34.49</v>
      </c>
      <c r="P88" s="5">
        <f>ROUND(MAX($D88:$E88)+MIN($D88:$E88)*SUMIFS(PrefFlows!$C:$C,PrefFlows!$A:$A,INDEX($D$1:$E$1,MATCH(MIN($D88:$E88),$D88:$E88,0)),PrefFlows!$B:$B,$B88),2)</f>
        <v>45.72</v>
      </c>
      <c r="Q88" s="5">
        <f t="shared" si="34"/>
        <v>7.4</v>
      </c>
      <c r="R88" s="5">
        <f t="shared" si="35"/>
        <v>7.85</v>
      </c>
      <c r="S88" s="3">
        <f t="shared" si="36"/>
        <v>4.53</v>
      </c>
      <c r="T88" s="6">
        <f t="shared" si="37"/>
        <v>11.23</v>
      </c>
      <c r="U88" s="4">
        <f>ROUND($Q88*SUMIFS(PrefFlows!$C:$C,PrefFlows!$A:$A,$Q$1,PrefFlows!$B:$B,$B88)+$R88*SUMIFS(PrefFlows!$C:$C,PrefFlows!$A:$A,$R$1,PrefFlows!$B:$B,$B88)+$S88*SUMIFS(PrefFlows!$C:$C,PrefFlows!$A:$A,$S$1,PrefFlows!$B:$B,$B88),2)</f>
        <v>8.42</v>
      </c>
      <c r="V88" s="3">
        <f>ROUND($Q88*(1-SUMIFS(PrefFlows!$C:$C,PrefFlows!$A:$A,$Q$1,PrefFlows!$B:$B,$B88))+$R88*(1-SUMIFS(PrefFlows!$C:$C,PrefFlows!$A:$A,$R$1,PrefFlows!$B:$B,$B88))+$S88*(1-SUMIFS(PrefFlows!$C:$C,PrefFlows!$A:$A,$S$1,PrefFlows!$B:$B,$B88)),2)</f>
        <v>11.36</v>
      </c>
      <c r="W88" s="4">
        <f t="shared" si="38"/>
        <v>8.77</v>
      </c>
      <c r="X88" s="3">
        <f t="shared" si="39"/>
        <v>11.02</v>
      </c>
      <c r="Y88" s="4">
        <f t="shared" si="40"/>
        <v>0.42570000000000002</v>
      </c>
      <c r="Z88" s="5">
        <f t="shared" si="41"/>
        <v>0.44319999999999998</v>
      </c>
      <c r="AA88" s="5">
        <f t="shared" si="42"/>
        <v>1.7500000000000002E-2</v>
      </c>
      <c r="AB88" s="3">
        <v>3.9863558716649497E-2</v>
      </c>
      <c r="AC88" s="4">
        <f>ROUND(Q88*(1-(Exhaust!$B$2+AB88)),2)</f>
        <v>2.96</v>
      </c>
      <c r="AD88" s="5">
        <f>ROUND(R88*(1-(Exhaust!$B$3+$AB88)),2)</f>
        <v>4.4000000000000004</v>
      </c>
      <c r="AE88" s="3">
        <f>ROUND(S88*(1-(Exhaust!$B$4+$AB88)),2)</f>
        <v>2.08</v>
      </c>
      <c r="AF88" s="4">
        <f>ROUND($AC88*(SUMIFS(PrefFlows!$C:$C,PrefFlows!$A:$A,$Q$1,PrefFlows!$B:$B,$B88)+$AA88)+$AD88*(SUMIFS(PrefFlows!$C:$C,PrefFlows!$A:$A,$R$1,PrefFlows!$B:$B,$B88)+$AA88)+$AE88*(SUMIFS(PrefFlows!$C:$C,PrefFlows!$A:$A,$S$1,PrefFlows!$B:$B,$B88)+$AA88),2)</f>
        <v>3.88</v>
      </c>
      <c r="AG88" s="3">
        <f>ROUND($AC88*(1-(SUMIFS(PrefFlows!$C:$C,PrefFlows!$A:$A,$Q$1,PrefFlows!$B:$B,$B88)+$AA88))+$AD88*(1-(SUMIFS(PrefFlows!$C:$C,PrefFlows!$A:$A,$R$1,PrefFlows!$B:$B,$B88)+$AA88))+$AE88*(1-(SUMIFS(PrefFlows!$C:$C,PrefFlows!$A:$A,$S$1,PrefFlows!$B:$B,$B88)+$AA88)),2)</f>
        <v>5.56</v>
      </c>
      <c r="AH88" s="4">
        <f t="shared" si="43"/>
        <v>49.6</v>
      </c>
      <c r="AI88" s="3">
        <f t="shared" si="44"/>
        <v>40.049999999999997</v>
      </c>
      <c r="AJ88" s="4">
        <f t="shared" si="45"/>
        <v>55.33</v>
      </c>
      <c r="AK88" s="3">
        <f t="shared" si="45"/>
        <v>44.67</v>
      </c>
      <c r="AL88" s="1">
        <f t="shared" si="28"/>
        <v>4.49</v>
      </c>
      <c r="AM88" s="1">
        <f t="shared" si="29"/>
        <v>5.56</v>
      </c>
      <c r="AN88" s="3">
        <f t="shared" si="30"/>
        <v>5.33</v>
      </c>
      <c r="AO88" s="1" t="b">
        <f t="shared" si="46"/>
        <v>0</v>
      </c>
      <c r="AP88" s="1" t="b">
        <f t="shared" si="46"/>
        <v>0</v>
      </c>
      <c r="AQ88" s="3" t="b">
        <f t="shared" si="47"/>
        <v>0</v>
      </c>
      <c r="AR88" s="1">
        <f t="shared" si="48"/>
        <v>1.0699999999999994</v>
      </c>
      <c r="AS88" s="1">
        <f t="shared" si="48"/>
        <v>0.83999999999999986</v>
      </c>
      <c r="AT88" s="3">
        <f t="shared" si="49"/>
        <v>0.22999999999999954</v>
      </c>
      <c r="AU88" s="1">
        <f>ROUND(IF($B88="NSW",L88*Meta!$B$6,L88),1)</f>
        <v>4616</v>
      </c>
      <c r="AV88" s="3">
        <f t="shared" si="31"/>
        <v>99720.5</v>
      </c>
    </row>
    <row r="89" spans="1:48" x14ac:dyDescent="0.55000000000000004">
      <c r="A89" s="2" t="s">
        <v>93</v>
      </c>
      <c r="B89" s="3" t="s">
        <v>9</v>
      </c>
      <c r="C89" s="4">
        <v>51.7</v>
      </c>
      <c r="D89" s="5">
        <v>30.18</v>
      </c>
      <c r="E89" s="5">
        <v>0</v>
      </c>
      <c r="F89" s="5">
        <v>4.76</v>
      </c>
      <c r="G89" s="5">
        <v>7.78</v>
      </c>
      <c r="H89" s="5">
        <v>5.58</v>
      </c>
      <c r="I89" s="4">
        <v>37.590000000000003</v>
      </c>
      <c r="J89" s="3">
        <v>62.41</v>
      </c>
      <c r="K89" s="4">
        <v>97815</v>
      </c>
      <c r="L89" s="5">
        <v>4337</v>
      </c>
      <c r="M89" s="3">
        <f t="shared" si="32"/>
        <v>93478</v>
      </c>
      <c r="N89" s="5">
        <f t="shared" si="33"/>
        <v>4.4338802842099879E-2</v>
      </c>
      <c r="O89" s="4">
        <f>ROUND($C89+MIN($D89:$E89)*(1-SUMIFS(PrefFlows!$C:$C,PrefFlows!$A:$A,INDEX($D$1:$E$1,MATCH(MIN($D89:$E89),$D89:$E89,0)),PrefFlows!$B:$B,$B89)),2)</f>
        <v>51.7</v>
      </c>
      <c r="P89" s="5">
        <f>ROUND(MAX($D89:$E89)+MIN($D89:$E89)*SUMIFS(PrefFlows!$C:$C,PrefFlows!$A:$A,INDEX($D$1:$E$1,MATCH(MIN($D89:$E89),$D89:$E89,0)),PrefFlows!$B:$B,$B89),2)</f>
        <v>30.18</v>
      </c>
      <c r="Q89" s="5">
        <f t="shared" si="34"/>
        <v>4.76</v>
      </c>
      <c r="R89" s="5">
        <f t="shared" si="35"/>
        <v>7.78</v>
      </c>
      <c r="S89" s="3">
        <f t="shared" si="36"/>
        <v>5.58</v>
      </c>
      <c r="T89" s="6">
        <f t="shared" si="37"/>
        <v>-21.52</v>
      </c>
      <c r="U89" s="4">
        <f>ROUND($Q89*SUMIFS(PrefFlows!$C:$C,PrefFlows!$A:$A,$Q$1,PrefFlows!$B:$B,$B89)+$R89*SUMIFS(PrefFlows!$C:$C,PrefFlows!$A:$A,$R$1,PrefFlows!$B:$B,$B89)+$S89*SUMIFS(PrefFlows!$C:$C,PrefFlows!$A:$A,$S$1,PrefFlows!$B:$B,$B89),2)</f>
        <v>7.29</v>
      </c>
      <c r="V89" s="3">
        <f>ROUND($Q89*(1-SUMIFS(PrefFlows!$C:$C,PrefFlows!$A:$A,$Q$1,PrefFlows!$B:$B,$B89))+$R89*(1-SUMIFS(PrefFlows!$C:$C,PrefFlows!$A:$A,$R$1,PrefFlows!$B:$B,$B89))+$S89*(1-SUMIFS(PrefFlows!$C:$C,PrefFlows!$A:$A,$S$1,PrefFlows!$B:$B,$B89)),2)</f>
        <v>10.83</v>
      </c>
      <c r="W89" s="4">
        <f t="shared" si="38"/>
        <v>7.41</v>
      </c>
      <c r="X89" s="3">
        <f t="shared" si="39"/>
        <v>10.71</v>
      </c>
      <c r="Y89" s="4">
        <f t="shared" si="40"/>
        <v>0.40229999999999999</v>
      </c>
      <c r="Z89" s="5">
        <f t="shared" si="41"/>
        <v>0.40889999999999999</v>
      </c>
      <c r="AA89" s="5">
        <f t="shared" si="42"/>
        <v>6.6E-3</v>
      </c>
      <c r="AB89" s="3">
        <v>8.0476768089864995E-2</v>
      </c>
      <c r="AC89" s="4">
        <f>ROUND(Q89*(1-(Exhaust!$B$2+AB89)),2)</f>
        <v>1.71</v>
      </c>
      <c r="AD89" s="5">
        <f>ROUND(R89*(1-(Exhaust!$B$3+$AB89)),2)</f>
        <v>4.04</v>
      </c>
      <c r="AE89" s="3">
        <f>ROUND(S89*(1-(Exhaust!$B$4+$AB89)),2)</f>
        <v>2.34</v>
      </c>
      <c r="AF89" s="4">
        <f>ROUND($AC89*(SUMIFS(PrefFlows!$C:$C,PrefFlows!$A:$A,$Q$1,PrefFlows!$B:$B,$B89)+$AA89)+$AD89*(SUMIFS(PrefFlows!$C:$C,PrefFlows!$A:$A,$R$1,PrefFlows!$B:$B,$B89)+$AA89)+$AE89*(SUMIFS(PrefFlows!$C:$C,PrefFlows!$A:$A,$S$1,PrefFlows!$B:$B,$B89)+$AA89),2)</f>
        <v>3.05</v>
      </c>
      <c r="AG89" s="3">
        <f>ROUND($AC89*(1-(SUMIFS(PrefFlows!$C:$C,PrefFlows!$A:$A,$Q$1,PrefFlows!$B:$B,$B89)+$AA89))+$AD89*(1-(SUMIFS(PrefFlows!$C:$C,PrefFlows!$A:$A,$R$1,PrefFlows!$B:$B,$B89)+$AA89))+$AE89*(1-(SUMIFS(PrefFlows!$C:$C,PrefFlows!$A:$A,$S$1,PrefFlows!$B:$B,$B89)+$AA89)),2)</f>
        <v>5.04</v>
      </c>
      <c r="AH89" s="4">
        <f t="shared" si="43"/>
        <v>33.229999999999997</v>
      </c>
      <c r="AI89" s="3">
        <f t="shared" si="44"/>
        <v>56.74</v>
      </c>
      <c r="AJ89" s="4">
        <f t="shared" si="45"/>
        <v>36.93</v>
      </c>
      <c r="AK89" s="3">
        <f t="shared" si="45"/>
        <v>63.07</v>
      </c>
      <c r="AL89" s="1">
        <f t="shared" si="28"/>
        <v>-12.41</v>
      </c>
      <c r="AM89" s="1">
        <f t="shared" si="29"/>
        <v>-12.72</v>
      </c>
      <c r="AN89" s="3">
        <f t="shared" si="30"/>
        <v>-13.07</v>
      </c>
      <c r="AO89" s="1" t="b">
        <f t="shared" si="46"/>
        <v>0</v>
      </c>
      <c r="AP89" s="1" t="b">
        <f t="shared" si="46"/>
        <v>0</v>
      </c>
      <c r="AQ89" s="3" t="b">
        <f t="shared" si="47"/>
        <v>0</v>
      </c>
      <c r="AR89" s="1">
        <f t="shared" si="48"/>
        <v>-0.3100000000000005</v>
      </c>
      <c r="AS89" s="1">
        <f t="shared" si="48"/>
        <v>-0.66000000000000014</v>
      </c>
      <c r="AT89" s="3">
        <f t="shared" si="49"/>
        <v>0.34999999999999964</v>
      </c>
      <c r="AU89" s="1">
        <f>ROUND(IF($B89="NSW",L89*Meta!$B$6,L89),1)</f>
        <v>4337</v>
      </c>
      <c r="AV89" s="3">
        <f t="shared" si="31"/>
        <v>94447.2</v>
      </c>
    </row>
    <row r="90" spans="1:48" x14ac:dyDescent="0.55000000000000004">
      <c r="A90" s="2" t="s">
        <v>94</v>
      </c>
      <c r="B90" s="3" t="s">
        <v>21</v>
      </c>
      <c r="C90" s="4">
        <v>28.79</v>
      </c>
      <c r="D90" s="5">
        <v>37.590000000000003</v>
      </c>
      <c r="E90" s="5">
        <v>0</v>
      </c>
      <c r="F90" s="5">
        <v>18.16</v>
      </c>
      <c r="G90" s="5">
        <v>10.4</v>
      </c>
      <c r="H90" s="5">
        <v>5.05</v>
      </c>
      <c r="I90" s="4">
        <v>54.17</v>
      </c>
      <c r="J90" s="3">
        <v>45.83</v>
      </c>
      <c r="K90" s="4">
        <v>95945</v>
      </c>
      <c r="L90" s="5">
        <v>6160</v>
      </c>
      <c r="M90" s="3">
        <f t="shared" si="32"/>
        <v>89785</v>
      </c>
      <c r="N90" s="5">
        <f t="shared" si="33"/>
        <v>6.4203449893167966E-2</v>
      </c>
      <c r="O90" s="4">
        <f>ROUND($C90+MIN($D90:$E90)*(1-SUMIFS(PrefFlows!$C:$C,PrefFlows!$A:$A,INDEX($D$1:$E$1,MATCH(MIN($D90:$E90),$D90:$E90,0)),PrefFlows!$B:$B,$B90)),2)</f>
        <v>28.79</v>
      </c>
      <c r="P90" s="5">
        <f>ROUND(MAX($D90:$E90)+MIN($D90:$E90)*SUMIFS(PrefFlows!$C:$C,PrefFlows!$A:$A,INDEX($D$1:$E$1,MATCH(MIN($D90:$E90),$D90:$E90,0)),PrefFlows!$B:$B,$B90),2)</f>
        <v>37.590000000000003</v>
      </c>
      <c r="Q90" s="5">
        <f t="shared" si="34"/>
        <v>18.16</v>
      </c>
      <c r="R90" s="5">
        <f t="shared" si="35"/>
        <v>10.4</v>
      </c>
      <c r="S90" s="3">
        <f t="shared" si="36"/>
        <v>5.05</v>
      </c>
      <c r="T90" s="6">
        <f t="shared" si="37"/>
        <v>8.8000000000000007</v>
      </c>
      <c r="U90" s="4">
        <f>ROUND($Q90*SUMIFS(PrefFlows!$C:$C,PrefFlows!$A:$A,$Q$1,PrefFlows!$B:$B,$B90)+$R90*SUMIFS(PrefFlows!$C:$C,PrefFlows!$A:$A,$R$1,PrefFlows!$B:$B,$B90)+$S90*SUMIFS(PrefFlows!$C:$C,PrefFlows!$A:$A,$S$1,PrefFlows!$B:$B,$B90),2)</f>
        <v>16.95</v>
      </c>
      <c r="V90" s="3">
        <f>ROUND($Q90*(1-SUMIFS(PrefFlows!$C:$C,PrefFlows!$A:$A,$Q$1,PrefFlows!$B:$B,$B90))+$R90*(1-SUMIFS(PrefFlows!$C:$C,PrefFlows!$A:$A,$R$1,PrefFlows!$B:$B,$B90))+$S90*(1-SUMIFS(PrefFlows!$C:$C,PrefFlows!$A:$A,$S$1,PrefFlows!$B:$B,$B90)),2)</f>
        <v>16.66</v>
      </c>
      <c r="W90" s="4">
        <f t="shared" si="38"/>
        <v>16.579999999999998</v>
      </c>
      <c r="X90" s="3">
        <f t="shared" si="39"/>
        <v>17.04</v>
      </c>
      <c r="Y90" s="4">
        <f t="shared" si="40"/>
        <v>0.50429999999999997</v>
      </c>
      <c r="Z90" s="5">
        <f t="shared" si="41"/>
        <v>0.49320000000000003</v>
      </c>
      <c r="AA90" s="5">
        <f t="shared" si="42"/>
        <v>-1.11E-2</v>
      </c>
      <c r="AB90" s="3">
        <v>1.1661415050851101E-2</v>
      </c>
      <c r="AC90" s="4">
        <f>ROUND(Q90*(1-(Exhaust!$B$2+AB90)),2)</f>
        <v>7.78</v>
      </c>
      <c r="AD90" s="5">
        <f>ROUND(R90*(1-(Exhaust!$B$3+$AB90)),2)</f>
        <v>6.12</v>
      </c>
      <c r="AE90" s="3">
        <f>ROUND(S90*(1-(Exhaust!$B$4+$AB90)),2)</f>
        <v>2.4700000000000002</v>
      </c>
      <c r="AF90" s="4">
        <f>ROUND($AC90*(SUMIFS(PrefFlows!$C:$C,PrefFlows!$A:$A,$Q$1,PrefFlows!$B:$B,$B90)+$AA90)+$AD90*(SUMIFS(PrefFlows!$C:$C,PrefFlows!$A:$A,$R$1,PrefFlows!$B:$B,$B90)+$AA90)+$AE90*(SUMIFS(PrefFlows!$C:$C,PrefFlows!$A:$A,$S$1,PrefFlows!$B:$B,$B90)+$AA90),2)</f>
        <v>7.58</v>
      </c>
      <c r="AG90" s="3">
        <f>ROUND($AC90*(1-(SUMIFS(PrefFlows!$C:$C,PrefFlows!$A:$A,$Q$1,PrefFlows!$B:$B,$B90)+$AA90))+$AD90*(1-(SUMIFS(PrefFlows!$C:$C,PrefFlows!$A:$A,$R$1,PrefFlows!$B:$B,$B90)+$AA90))+$AE90*(1-(SUMIFS(PrefFlows!$C:$C,PrefFlows!$A:$A,$S$1,PrefFlows!$B:$B,$B90)+$AA90)),2)</f>
        <v>8.7899999999999991</v>
      </c>
      <c r="AH90" s="4">
        <f t="shared" si="43"/>
        <v>45.17</v>
      </c>
      <c r="AI90" s="3">
        <f t="shared" si="44"/>
        <v>37.58</v>
      </c>
      <c r="AJ90" s="4">
        <f t="shared" si="45"/>
        <v>54.59</v>
      </c>
      <c r="AK90" s="3">
        <f t="shared" si="45"/>
        <v>45.41</v>
      </c>
      <c r="AL90" s="1">
        <f t="shared" si="28"/>
        <v>4.17</v>
      </c>
      <c r="AM90" s="1">
        <f t="shared" si="29"/>
        <v>5.0999999999999996</v>
      </c>
      <c r="AN90" s="3">
        <f t="shared" si="30"/>
        <v>4.59</v>
      </c>
      <c r="AO90" s="1" t="b">
        <f t="shared" si="46"/>
        <v>0</v>
      </c>
      <c r="AP90" s="1" t="b">
        <f t="shared" si="46"/>
        <v>0</v>
      </c>
      <c r="AQ90" s="3" t="b">
        <f t="shared" si="47"/>
        <v>0</v>
      </c>
      <c r="AR90" s="1">
        <f t="shared" si="48"/>
        <v>0.92999999999999972</v>
      </c>
      <c r="AS90" s="1">
        <f t="shared" si="48"/>
        <v>0.41999999999999993</v>
      </c>
      <c r="AT90" s="3">
        <f t="shared" si="49"/>
        <v>0.50999999999999979</v>
      </c>
      <c r="AU90" s="1">
        <f>ROUND(IF($B90="NSW",L90*Meta!$B$6,L90),1)</f>
        <v>6160</v>
      </c>
      <c r="AV90" s="3">
        <f t="shared" si="31"/>
        <v>91161.5</v>
      </c>
    </row>
    <row r="91" spans="1:48" x14ac:dyDescent="0.55000000000000004">
      <c r="A91" s="2" t="s">
        <v>95</v>
      </c>
      <c r="B91" s="3" t="s">
        <v>21</v>
      </c>
      <c r="C91" s="4">
        <v>35.64</v>
      </c>
      <c r="D91" s="5">
        <v>40.78</v>
      </c>
      <c r="E91" s="5">
        <v>0</v>
      </c>
      <c r="F91" s="5">
        <v>7.6</v>
      </c>
      <c r="G91" s="5">
        <v>14.01</v>
      </c>
      <c r="H91" s="5">
        <v>1.96</v>
      </c>
      <c r="I91" s="4">
        <v>49.36</v>
      </c>
      <c r="J91" s="3">
        <v>50.64</v>
      </c>
      <c r="K91" s="4">
        <v>100085</v>
      </c>
      <c r="L91" s="5">
        <v>3480</v>
      </c>
      <c r="M91" s="3">
        <f t="shared" si="32"/>
        <v>96605</v>
      </c>
      <c r="N91" s="5">
        <f t="shared" si="33"/>
        <v>3.47704451216466E-2</v>
      </c>
      <c r="O91" s="4">
        <f>ROUND($C91+MIN($D91:$E91)*(1-SUMIFS(PrefFlows!$C:$C,PrefFlows!$A:$A,INDEX($D$1:$E$1,MATCH(MIN($D91:$E91),$D91:$E91,0)),PrefFlows!$B:$B,$B91)),2)</f>
        <v>35.64</v>
      </c>
      <c r="P91" s="5">
        <f>ROUND(MAX($D91:$E91)+MIN($D91:$E91)*SUMIFS(PrefFlows!$C:$C,PrefFlows!$A:$A,INDEX($D$1:$E$1,MATCH(MIN($D91:$E91),$D91:$E91,0)),PrefFlows!$B:$B,$B91),2)</f>
        <v>40.78</v>
      </c>
      <c r="Q91" s="5">
        <f t="shared" si="34"/>
        <v>7.6</v>
      </c>
      <c r="R91" s="5">
        <f t="shared" si="35"/>
        <v>14.01</v>
      </c>
      <c r="S91" s="3">
        <f t="shared" si="36"/>
        <v>1.96</v>
      </c>
      <c r="T91" s="6">
        <f t="shared" si="37"/>
        <v>5.14</v>
      </c>
      <c r="U91" s="4">
        <f>ROUND($Q91*SUMIFS(PrefFlows!$C:$C,PrefFlows!$A:$A,$Q$1,PrefFlows!$B:$B,$B91)+$R91*SUMIFS(PrefFlows!$C:$C,PrefFlows!$A:$A,$R$1,PrefFlows!$B:$B,$B91)+$S91*SUMIFS(PrefFlows!$C:$C,PrefFlows!$A:$A,$S$1,PrefFlows!$B:$B,$B91),2)</f>
        <v>8.99</v>
      </c>
      <c r="V91" s="3">
        <f>ROUND($Q91*(1-SUMIFS(PrefFlows!$C:$C,PrefFlows!$A:$A,$Q$1,PrefFlows!$B:$B,$B91))+$R91*(1-SUMIFS(PrefFlows!$C:$C,PrefFlows!$A:$A,$R$1,PrefFlows!$B:$B,$B91))+$S91*(1-SUMIFS(PrefFlows!$C:$C,PrefFlows!$A:$A,$S$1,PrefFlows!$B:$B,$B91)),2)</f>
        <v>14.58</v>
      </c>
      <c r="W91" s="4">
        <f t="shared" si="38"/>
        <v>8.58</v>
      </c>
      <c r="X91" s="3">
        <f t="shared" si="39"/>
        <v>15</v>
      </c>
      <c r="Y91" s="4">
        <f t="shared" si="40"/>
        <v>0.38140000000000002</v>
      </c>
      <c r="Z91" s="5">
        <f t="shared" si="41"/>
        <v>0.3639</v>
      </c>
      <c r="AA91" s="5">
        <f t="shared" si="42"/>
        <v>-1.7500000000000002E-2</v>
      </c>
      <c r="AB91" s="3">
        <v>-3.2356189857084602E-3</v>
      </c>
      <c r="AC91" s="4">
        <f>ROUND(Q91*(1-(Exhaust!$B$2+AB91)),2)</f>
        <v>3.37</v>
      </c>
      <c r="AD91" s="5">
        <f>ROUND(R91*(1-(Exhaust!$B$3+$AB91)),2)</f>
        <v>8.4499999999999993</v>
      </c>
      <c r="AE91" s="3">
        <f>ROUND(S91*(1-(Exhaust!$B$4+$AB91)),2)</f>
        <v>0.99</v>
      </c>
      <c r="AF91" s="4">
        <f>ROUND($AC91*(SUMIFS(PrefFlows!$C:$C,PrefFlows!$A:$A,$Q$1,PrefFlows!$B:$B,$B91)+$AA91)+$AD91*(SUMIFS(PrefFlows!$C:$C,PrefFlows!$A:$A,$R$1,PrefFlows!$B:$B,$B91)+$AA91)+$AE91*(SUMIFS(PrefFlows!$C:$C,PrefFlows!$A:$A,$S$1,PrefFlows!$B:$B,$B91)+$AA91),2)</f>
        <v>4.28</v>
      </c>
      <c r="AG91" s="3">
        <f>ROUND($AC91*(1-(SUMIFS(PrefFlows!$C:$C,PrefFlows!$A:$A,$Q$1,PrefFlows!$B:$B,$B91)+$AA91))+$AD91*(1-(SUMIFS(PrefFlows!$C:$C,PrefFlows!$A:$A,$R$1,PrefFlows!$B:$B,$B91)+$AA91))+$AE91*(1-(SUMIFS(PrefFlows!$C:$C,PrefFlows!$A:$A,$S$1,PrefFlows!$B:$B,$B91)+$AA91)),2)</f>
        <v>8.5299999999999994</v>
      </c>
      <c r="AH91" s="4">
        <f t="shared" si="43"/>
        <v>45.06</v>
      </c>
      <c r="AI91" s="3">
        <f t="shared" si="44"/>
        <v>44.17</v>
      </c>
      <c r="AJ91" s="4">
        <f t="shared" si="45"/>
        <v>50.5</v>
      </c>
      <c r="AK91" s="3">
        <f t="shared" si="45"/>
        <v>49.5</v>
      </c>
      <c r="AL91" s="1">
        <f t="shared" si="28"/>
        <v>-0.64</v>
      </c>
      <c r="AM91" s="1">
        <f t="shared" si="29"/>
        <v>1.02</v>
      </c>
      <c r="AN91" s="3">
        <f t="shared" si="30"/>
        <v>0.5</v>
      </c>
      <c r="AO91" s="1" t="b">
        <f t="shared" si="46"/>
        <v>1</v>
      </c>
      <c r="AP91" s="1" t="b">
        <f t="shared" si="46"/>
        <v>1</v>
      </c>
      <c r="AQ91" s="3" t="b">
        <f t="shared" si="47"/>
        <v>0</v>
      </c>
      <c r="AR91" s="1">
        <f t="shared" si="48"/>
        <v>1.6600000000000001</v>
      </c>
      <c r="AS91" s="1">
        <f t="shared" si="48"/>
        <v>1.1400000000000001</v>
      </c>
      <c r="AT91" s="3">
        <f t="shared" si="49"/>
        <v>0.52</v>
      </c>
      <c r="AU91" s="1">
        <f>ROUND(IF($B91="NSW",L91*Meta!$B$6,L91),1)</f>
        <v>3480</v>
      </c>
      <c r="AV91" s="3">
        <f t="shared" si="31"/>
        <v>97382.7</v>
      </c>
    </row>
    <row r="92" spans="1:48" x14ac:dyDescent="0.55000000000000004">
      <c r="A92" s="2" t="s">
        <v>96</v>
      </c>
      <c r="B92" s="3" t="s">
        <v>12</v>
      </c>
      <c r="C92" s="4">
        <v>35.61</v>
      </c>
      <c r="D92" s="5">
        <v>46.45</v>
      </c>
      <c r="E92" s="5">
        <v>0</v>
      </c>
      <c r="F92" s="5">
        <v>2.91</v>
      </c>
      <c r="G92" s="5">
        <v>4.91</v>
      </c>
      <c r="H92" s="5">
        <v>10.119999999999999</v>
      </c>
      <c r="I92" s="4">
        <v>55.04</v>
      </c>
      <c r="J92" s="3">
        <v>44.96</v>
      </c>
      <c r="K92" s="4">
        <v>109538</v>
      </c>
      <c r="L92" s="5">
        <v>12135</v>
      </c>
      <c r="M92" s="3">
        <f t="shared" si="32"/>
        <v>97403</v>
      </c>
      <c r="N92" s="5">
        <f t="shared" si="33"/>
        <v>0.11078347240227136</v>
      </c>
      <c r="O92" s="4">
        <f>ROUND($C92+MIN($D92:$E92)*(1-SUMIFS(PrefFlows!$C:$C,PrefFlows!$A:$A,INDEX($D$1:$E$1,MATCH(MIN($D92:$E92),$D92:$E92,0)),PrefFlows!$B:$B,$B92)),2)</f>
        <v>35.61</v>
      </c>
      <c r="P92" s="5">
        <f>ROUND(MAX($D92:$E92)+MIN($D92:$E92)*SUMIFS(PrefFlows!$C:$C,PrefFlows!$A:$A,INDEX($D$1:$E$1,MATCH(MIN($D92:$E92),$D92:$E92,0)),PrefFlows!$B:$B,$B92),2)</f>
        <v>46.45</v>
      </c>
      <c r="Q92" s="5">
        <f t="shared" si="34"/>
        <v>2.91</v>
      </c>
      <c r="R92" s="5">
        <f t="shared" si="35"/>
        <v>4.91</v>
      </c>
      <c r="S92" s="3">
        <f t="shared" si="36"/>
        <v>10.119999999999999</v>
      </c>
      <c r="T92" s="6">
        <f t="shared" si="37"/>
        <v>10.84</v>
      </c>
      <c r="U92" s="4">
        <f>ROUND($Q92*SUMIFS(PrefFlows!$C:$C,PrefFlows!$A:$A,$Q$1,PrefFlows!$B:$B,$B92)+$R92*SUMIFS(PrefFlows!$C:$C,PrefFlows!$A:$A,$R$1,PrefFlows!$B:$B,$B92)+$S92*SUMIFS(PrefFlows!$C:$C,PrefFlows!$A:$A,$S$1,PrefFlows!$B:$B,$B92),2)</f>
        <v>8.0299999999999994</v>
      </c>
      <c r="V92" s="3">
        <f>ROUND($Q92*(1-SUMIFS(PrefFlows!$C:$C,PrefFlows!$A:$A,$Q$1,PrefFlows!$B:$B,$B92))+$R92*(1-SUMIFS(PrefFlows!$C:$C,PrefFlows!$A:$A,$R$1,PrefFlows!$B:$B,$B92))+$S92*(1-SUMIFS(PrefFlows!$C:$C,PrefFlows!$A:$A,$S$1,PrefFlows!$B:$B,$B92)),2)</f>
        <v>9.91</v>
      </c>
      <c r="W92" s="4">
        <f t="shared" si="38"/>
        <v>8.59</v>
      </c>
      <c r="X92" s="3">
        <f t="shared" si="39"/>
        <v>9.35</v>
      </c>
      <c r="Y92" s="4">
        <f t="shared" si="40"/>
        <v>0.4476</v>
      </c>
      <c r="Z92" s="5">
        <f t="shared" si="41"/>
        <v>0.4788</v>
      </c>
      <c r="AA92" s="5">
        <f t="shared" si="42"/>
        <v>3.1199999999999999E-2</v>
      </c>
      <c r="AB92" s="3">
        <v>6.6078117347509902E-2</v>
      </c>
      <c r="AC92" s="4">
        <f>ROUND(Q92*(1-(Exhaust!$B$2+AB92)),2)</f>
        <v>1.0900000000000001</v>
      </c>
      <c r="AD92" s="5">
        <f>ROUND(R92*(1-(Exhaust!$B$3+$AB92)),2)</f>
        <v>2.62</v>
      </c>
      <c r="AE92" s="3">
        <f>ROUND(S92*(1-(Exhaust!$B$4+$AB92)),2)</f>
        <v>4.3899999999999997</v>
      </c>
      <c r="AF92" s="4">
        <f>ROUND($AC92*(SUMIFS(PrefFlows!$C:$C,PrefFlows!$A:$A,$Q$1,PrefFlows!$B:$B,$B92)+$AA92)+$AD92*(SUMIFS(PrefFlows!$C:$C,PrefFlows!$A:$A,$R$1,PrefFlows!$B:$B,$B92)+$AA92)+$AE92*(SUMIFS(PrefFlows!$C:$C,PrefFlows!$A:$A,$S$1,PrefFlows!$B:$B,$B92)+$AA92),2)</f>
        <v>3.71</v>
      </c>
      <c r="AG92" s="3">
        <f>ROUND($AC92*(1-(SUMIFS(PrefFlows!$C:$C,PrefFlows!$A:$A,$Q$1,PrefFlows!$B:$B,$B92)+$AA92))+$AD92*(1-(SUMIFS(PrefFlows!$C:$C,PrefFlows!$A:$A,$R$1,PrefFlows!$B:$B,$B92)+$AA92))+$AE92*(1-(SUMIFS(PrefFlows!$C:$C,PrefFlows!$A:$A,$S$1,PrefFlows!$B:$B,$B92)+$AA92)),2)</f>
        <v>4.3899999999999997</v>
      </c>
      <c r="AH92" s="4">
        <f t="shared" si="43"/>
        <v>50.16</v>
      </c>
      <c r="AI92" s="3">
        <f t="shared" si="44"/>
        <v>40</v>
      </c>
      <c r="AJ92" s="4">
        <f t="shared" si="45"/>
        <v>55.63</v>
      </c>
      <c r="AK92" s="3">
        <f t="shared" si="45"/>
        <v>44.37</v>
      </c>
      <c r="AL92" s="1">
        <f t="shared" si="28"/>
        <v>5.04</v>
      </c>
      <c r="AM92" s="1">
        <f t="shared" si="29"/>
        <v>5.71</v>
      </c>
      <c r="AN92" s="3">
        <f t="shared" si="30"/>
        <v>5.63</v>
      </c>
      <c r="AO92" s="1" t="b">
        <f t="shared" si="46"/>
        <v>0</v>
      </c>
      <c r="AP92" s="1" t="b">
        <f t="shared" si="46"/>
        <v>0</v>
      </c>
      <c r="AQ92" s="3" t="b">
        <f t="shared" si="47"/>
        <v>0</v>
      </c>
      <c r="AR92" s="1">
        <f t="shared" si="48"/>
        <v>0.66999999999999993</v>
      </c>
      <c r="AS92" s="1">
        <f t="shared" si="48"/>
        <v>0.58999999999999986</v>
      </c>
      <c r="AT92" s="3">
        <f t="shared" si="49"/>
        <v>8.0000000000000071E-2</v>
      </c>
      <c r="AU92" s="1">
        <f>ROUND(IF($B92="NSW",L92*Meta!$B$6,L92),1)</f>
        <v>8069.8</v>
      </c>
      <c r="AV92" s="3">
        <f t="shared" si="31"/>
        <v>103271.5</v>
      </c>
    </row>
    <row r="93" spans="1:48" x14ac:dyDescent="0.55000000000000004">
      <c r="A93" s="2" t="s">
        <v>97</v>
      </c>
      <c r="B93" s="3" t="s">
        <v>98</v>
      </c>
      <c r="C93" s="4">
        <v>44.8</v>
      </c>
      <c r="D93" s="5">
        <v>36.909999999999997</v>
      </c>
      <c r="E93" s="5">
        <v>0</v>
      </c>
      <c r="F93" s="5">
        <v>2.82</v>
      </c>
      <c r="G93" s="5">
        <v>8.24</v>
      </c>
      <c r="H93" s="5">
        <v>7.23</v>
      </c>
      <c r="I93" s="4">
        <v>44.54</v>
      </c>
      <c r="J93" s="3">
        <v>55.46</v>
      </c>
      <c r="K93" s="4">
        <v>51009</v>
      </c>
      <c r="L93" s="5">
        <v>2575</v>
      </c>
      <c r="M93" s="3">
        <f t="shared" si="32"/>
        <v>48434</v>
      </c>
      <c r="N93" s="5">
        <f t="shared" si="33"/>
        <v>5.0481287615910919E-2</v>
      </c>
      <c r="O93" s="4">
        <f>ROUND($C93+MIN($D93:$E93)*(1-SUMIFS(PrefFlows!$C:$C,PrefFlows!$A:$A,INDEX($D$1:$E$1,MATCH(MIN($D93:$E93),$D93:$E93,0)),PrefFlows!$B:$B,$B93)),2)</f>
        <v>44.8</v>
      </c>
      <c r="P93" s="5">
        <f>ROUND(MAX($D93:$E93)+MIN($D93:$E93)*SUMIFS(PrefFlows!$C:$C,PrefFlows!$A:$A,INDEX($D$1:$E$1,MATCH(MIN($D93:$E93),$D93:$E93,0)),PrefFlows!$B:$B,$B93),2)</f>
        <v>36.909999999999997</v>
      </c>
      <c r="Q93" s="5">
        <f t="shared" si="34"/>
        <v>2.82</v>
      </c>
      <c r="R93" s="5">
        <f t="shared" si="35"/>
        <v>8.24</v>
      </c>
      <c r="S93" s="3">
        <f t="shared" si="36"/>
        <v>7.23</v>
      </c>
      <c r="T93" s="6">
        <f t="shared" si="37"/>
        <v>-7.89</v>
      </c>
      <c r="U93" s="4">
        <f>ROUND($Q93*SUMIFS(PrefFlows!$C:$C,PrefFlows!$A:$A,$Q$1,PrefFlows!$B:$B,$B93)+$R93*SUMIFS(PrefFlows!$C:$C,PrefFlows!$A:$A,$R$1,PrefFlows!$B:$B,$B93)+$S93*SUMIFS(PrefFlows!$C:$C,PrefFlows!$A:$A,$S$1,PrefFlows!$B:$B,$B93),2)</f>
        <v>7.44</v>
      </c>
      <c r="V93" s="3">
        <f>ROUND($Q93*(1-SUMIFS(PrefFlows!$C:$C,PrefFlows!$A:$A,$Q$1,PrefFlows!$B:$B,$B93))+$R93*(1-SUMIFS(PrefFlows!$C:$C,PrefFlows!$A:$A,$R$1,PrefFlows!$B:$B,$B93))+$S93*(1-SUMIFS(PrefFlows!$C:$C,PrefFlows!$A:$A,$S$1,PrefFlows!$B:$B,$B93)),2)</f>
        <v>10.85</v>
      </c>
      <c r="W93" s="4">
        <f t="shared" si="38"/>
        <v>7.63</v>
      </c>
      <c r="X93" s="3">
        <f t="shared" si="39"/>
        <v>10.66</v>
      </c>
      <c r="Y93" s="4">
        <f t="shared" si="40"/>
        <v>0.40679999999999999</v>
      </c>
      <c r="Z93" s="5">
        <f t="shared" si="41"/>
        <v>0.41720000000000002</v>
      </c>
      <c r="AA93" s="5">
        <f t="shared" si="42"/>
        <v>1.04E-2</v>
      </c>
      <c r="AB93" s="3">
        <v>-2.7926331336770902E-2</v>
      </c>
      <c r="AC93" s="4">
        <f>ROUND(Q93*(1-(Exhaust!$B$2+AB93)),2)</f>
        <v>1.32</v>
      </c>
      <c r="AD93" s="5">
        <f>ROUND(R93*(1-(Exhaust!$B$3+$AB93)),2)</f>
        <v>5.17</v>
      </c>
      <c r="AE93" s="3">
        <f>ROUND(S93*(1-(Exhaust!$B$4+$AB93)),2)</f>
        <v>3.82</v>
      </c>
      <c r="AF93" s="4">
        <f>ROUND($AC93*(SUMIFS(PrefFlows!$C:$C,PrefFlows!$A:$A,$Q$1,PrefFlows!$B:$B,$B93)+$AA93)+$AD93*(SUMIFS(PrefFlows!$C:$C,PrefFlows!$A:$A,$R$1,PrefFlows!$B:$B,$B93)+$AA93)+$AE93*(SUMIFS(PrefFlows!$C:$C,PrefFlows!$A:$A,$S$1,PrefFlows!$B:$B,$B93)+$AA93),2)</f>
        <v>4.08</v>
      </c>
      <c r="AG93" s="3">
        <f>ROUND($AC93*(1-(SUMIFS(PrefFlows!$C:$C,PrefFlows!$A:$A,$Q$1,PrefFlows!$B:$B,$B93)+$AA93))+$AD93*(1-(SUMIFS(PrefFlows!$C:$C,PrefFlows!$A:$A,$R$1,PrefFlows!$B:$B,$B93)+$AA93))+$AE93*(1-(SUMIFS(PrefFlows!$C:$C,PrefFlows!$A:$A,$S$1,PrefFlows!$B:$B,$B93)+$AA93)),2)</f>
        <v>6.23</v>
      </c>
      <c r="AH93" s="4">
        <f t="shared" si="43"/>
        <v>40.99</v>
      </c>
      <c r="AI93" s="3">
        <f t="shared" si="44"/>
        <v>51.03</v>
      </c>
      <c r="AJ93" s="4">
        <f t="shared" si="45"/>
        <v>44.54</v>
      </c>
      <c r="AK93" s="3">
        <f t="shared" si="45"/>
        <v>55.46</v>
      </c>
      <c r="AL93" s="1">
        <f t="shared" si="28"/>
        <v>-5.46</v>
      </c>
      <c r="AM93" s="1">
        <f t="shared" si="29"/>
        <v>-5.19</v>
      </c>
      <c r="AN93" s="3">
        <f t="shared" si="30"/>
        <v>-5.46</v>
      </c>
      <c r="AO93" s="1" t="b">
        <f t="shared" si="46"/>
        <v>0</v>
      </c>
      <c r="AP93" s="1" t="b">
        <f t="shared" si="46"/>
        <v>0</v>
      </c>
      <c r="AQ93" s="3" t="b">
        <f t="shared" si="47"/>
        <v>0</v>
      </c>
      <c r="AR93" s="1">
        <f t="shared" si="48"/>
        <v>0.26999999999999957</v>
      </c>
      <c r="AS93" s="1">
        <f t="shared" si="48"/>
        <v>0</v>
      </c>
      <c r="AT93" s="3">
        <f t="shared" si="49"/>
        <v>0.26999999999999957</v>
      </c>
      <c r="AU93" s="1">
        <f>ROUND(IF($B93="NSW",L93*Meta!$B$6,L93),1)</f>
        <v>2575</v>
      </c>
      <c r="AV93" s="3">
        <f t="shared" si="31"/>
        <v>49009.4</v>
      </c>
    </row>
    <row r="94" spans="1:48" x14ac:dyDescent="0.55000000000000004">
      <c r="A94" s="2" t="s">
        <v>99</v>
      </c>
      <c r="B94" s="3" t="s">
        <v>21</v>
      </c>
      <c r="C94" s="4">
        <v>34.1</v>
      </c>
      <c r="D94" s="5">
        <v>38.590000000000003</v>
      </c>
      <c r="E94" s="5">
        <v>0</v>
      </c>
      <c r="F94" s="5">
        <v>16.579999999999998</v>
      </c>
      <c r="G94" s="5">
        <v>6.71</v>
      </c>
      <c r="H94" s="5">
        <v>4.0199999999999996</v>
      </c>
      <c r="I94" s="4">
        <v>53.28</v>
      </c>
      <c r="J94" s="3">
        <v>46.72</v>
      </c>
      <c r="K94" s="4">
        <v>105722</v>
      </c>
      <c r="L94" s="5">
        <v>6173</v>
      </c>
      <c r="M94" s="3">
        <f t="shared" si="32"/>
        <v>99549</v>
      </c>
      <c r="N94" s="5">
        <f t="shared" si="33"/>
        <v>5.8388982425606778E-2</v>
      </c>
      <c r="O94" s="4">
        <f>ROUND($C94+MIN($D94:$E94)*(1-SUMIFS(PrefFlows!$C:$C,PrefFlows!$A:$A,INDEX($D$1:$E$1,MATCH(MIN($D94:$E94),$D94:$E94,0)),PrefFlows!$B:$B,$B94)),2)</f>
        <v>34.1</v>
      </c>
      <c r="P94" s="5">
        <f>ROUND(MAX($D94:$E94)+MIN($D94:$E94)*SUMIFS(PrefFlows!$C:$C,PrefFlows!$A:$A,INDEX($D$1:$E$1,MATCH(MIN($D94:$E94),$D94:$E94,0)),PrefFlows!$B:$B,$B94),2)</f>
        <v>38.590000000000003</v>
      </c>
      <c r="Q94" s="5">
        <f t="shared" si="34"/>
        <v>16.579999999999998</v>
      </c>
      <c r="R94" s="5">
        <f t="shared" si="35"/>
        <v>6.71</v>
      </c>
      <c r="S94" s="3">
        <f t="shared" si="36"/>
        <v>4.0199999999999996</v>
      </c>
      <c r="T94" s="6">
        <f t="shared" si="37"/>
        <v>4.49</v>
      </c>
      <c r="U94" s="4">
        <f>ROUND($Q94*SUMIFS(PrefFlows!$C:$C,PrefFlows!$A:$A,$Q$1,PrefFlows!$B:$B,$B94)+$R94*SUMIFS(PrefFlows!$C:$C,PrefFlows!$A:$A,$R$1,PrefFlows!$B:$B,$B94)+$S94*SUMIFS(PrefFlows!$C:$C,PrefFlows!$A:$A,$S$1,PrefFlows!$B:$B,$B94),2)</f>
        <v>14.61</v>
      </c>
      <c r="V94" s="3">
        <f>ROUND($Q94*(1-SUMIFS(PrefFlows!$C:$C,PrefFlows!$A:$A,$Q$1,PrefFlows!$B:$B,$B94))+$R94*(1-SUMIFS(PrefFlows!$C:$C,PrefFlows!$A:$A,$R$1,PrefFlows!$B:$B,$B94))+$S94*(1-SUMIFS(PrefFlows!$C:$C,PrefFlows!$A:$A,$S$1,PrefFlows!$B:$B,$B94)),2)</f>
        <v>12.7</v>
      </c>
      <c r="W94" s="4">
        <f t="shared" si="38"/>
        <v>14.69</v>
      </c>
      <c r="X94" s="3">
        <f t="shared" si="39"/>
        <v>12.62</v>
      </c>
      <c r="Y94" s="4">
        <f t="shared" si="40"/>
        <v>0.53500000000000003</v>
      </c>
      <c r="Z94" s="5">
        <f t="shared" si="41"/>
        <v>0.53790000000000004</v>
      </c>
      <c r="AA94" s="5">
        <f t="shared" si="42"/>
        <v>2.8999999999999998E-3</v>
      </c>
      <c r="AB94" s="3">
        <v>5.2018566901692903E-2</v>
      </c>
      <c r="AC94" s="4">
        <f>ROUND(Q94*(1-(Exhaust!$B$2+AB94)),2)</f>
        <v>6.43</v>
      </c>
      <c r="AD94" s="5">
        <f>ROUND(R94*(1-(Exhaust!$B$3+$AB94)),2)</f>
        <v>3.68</v>
      </c>
      <c r="AE94" s="3">
        <f>ROUND(S94*(1-(Exhaust!$B$4+$AB94)),2)</f>
        <v>1.8</v>
      </c>
      <c r="AF94" s="4">
        <f>ROUND($AC94*(SUMIFS(PrefFlows!$C:$C,PrefFlows!$A:$A,$Q$1,PrefFlows!$B:$B,$B94)+$AA94)+$AD94*(SUMIFS(PrefFlows!$C:$C,PrefFlows!$A:$A,$R$1,PrefFlows!$B:$B,$B94)+$AA94)+$AE94*(SUMIFS(PrefFlows!$C:$C,PrefFlows!$A:$A,$S$1,PrefFlows!$B:$B,$B94)+$AA94),2)</f>
        <v>6.04</v>
      </c>
      <c r="AG94" s="3">
        <f>ROUND($AC94*(1-(SUMIFS(PrefFlows!$C:$C,PrefFlows!$A:$A,$Q$1,PrefFlows!$B:$B,$B94)+$AA94))+$AD94*(1-(SUMIFS(PrefFlows!$C:$C,PrefFlows!$A:$A,$R$1,PrefFlows!$B:$B,$B94)+$AA94))+$AE94*(1-(SUMIFS(PrefFlows!$C:$C,PrefFlows!$A:$A,$S$1,PrefFlows!$B:$B,$B94)+$AA94)),2)</f>
        <v>5.87</v>
      </c>
      <c r="AH94" s="4">
        <f t="shared" si="43"/>
        <v>44.63</v>
      </c>
      <c r="AI94" s="3">
        <f t="shared" si="44"/>
        <v>39.97</v>
      </c>
      <c r="AJ94" s="4">
        <f t="shared" si="45"/>
        <v>52.75</v>
      </c>
      <c r="AK94" s="3">
        <f t="shared" si="45"/>
        <v>47.25</v>
      </c>
      <c r="AL94" s="1">
        <f t="shared" si="28"/>
        <v>3.28</v>
      </c>
      <c r="AM94" s="1">
        <f t="shared" si="29"/>
        <v>3.2</v>
      </c>
      <c r="AN94" s="3">
        <f t="shared" si="30"/>
        <v>2.75</v>
      </c>
      <c r="AO94" s="1" t="b">
        <f t="shared" si="46"/>
        <v>0</v>
      </c>
      <c r="AP94" s="1" t="b">
        <f t="shared" si="46"/>
        <v>0</v>
      </c>
      <c r="AQ94" s="3" t="b">
        <f t="shared" si="47"/>
        <v>0</v>
      </c>
      <c r="AR94" s="1">
        <f t="shared" si="48"/>
        <v>-7.9999999999999627E-2</v>
      </c>
      <c r="AS94" s="1">
        <f t="shared" si="48"/>
        <v>-0.5299999999999998</v>
      </c>
      <c r="AT94" s="3">
        <f t="shared" si="49"/>
        <v>0.45000000000000018</v>
      </c>
      <c r="AU94" s="1">
        <f>ROUND(IF($B94="NSW",L94*Meta!$B$6,L94),1)</f>
        <v>6173</v>
      </c>
      <c r="AV94" s="3">
        <f t="shared" si="31"/>
        <v>100928.4</v>
      </c>
    </row>
    <row r="95" spans="1:48" x14ac:dyDescent="0.55000000000000004">
      <c r="A95" s="2" t="s">
        <v>100</v>
      </c>
      <c r="B95" s="3" t="s">
        <v>12</v>
      </c>
      <c r="C95" s="4">
        <v>24.09</v>
      </c>
      <c r="D95" s="5">
        <v>0</v>
      </c>
      <c r="E95" s="5">
        <v>49.35</v>
      </c>
      <c r="F95" s="5">
        <v>4.05</v>
      </c>
      <c r="G95" s="5">
        <v>6.51</v>
      </c>
      <c r="H95" s="5">
        <v>16</v>
      </c>
      <c r="I95" s="4">
        <v>65.17</v>
      </c>
      <c r="J95" s="3">
        <v>34.83</v>
      </c>
      <c r="K95" s="4">
        <v>111276</v>
      </c>
      <c r="L95" s="5">
        <v>10096</v>
      </c>
      <c r="M95" s="3">
        <f t="shared" si="32"/>
        <v>101180</v>
      </c>
      <c r="N95" s="5">
        <f t="shared" si="33"/>
        <v>9.0729357633272223E-2</v>
      </c>
      <c r="O95" s="4">
        <f>ROUND($C95+MIN($D95:$E95)*(1-SUMIFS(PrefFlows!$C:$C,PrefFlows!$A:$A,INDEX($D$1:$E$1,MATCH(MIN($D95:$E95),$D95:$E95,0)),PrefFlows!$B:$B,$B95)),2)</f>
        <v>24.09</v>
      </c>
      <c r="P95" s="5">
        <f>ROUND(MAX($D95:$E95)+MIN($D95:$E95)*SUMIFS(PrefFlows!$C:$C,PrefFlows!$A:$A,INDEX($D$1:$E$1,MATCH(MIN($D95:$E95),$D95:$E95,0)),PrefFlows!$B:$B,$B95),2)</f>
        <v>49.35</v>
      </c>
      <c r="Q95" s="5">
        <f t="shared" si="34"/>
        <v>4.05</v>
      </c>
      <c r="R95" s="5">
        <f t="shared" si="35"/>
        <v>6.51</v>
      </c>
      <c r="S95" s="3">
        <f t="shared" si="36"/>
        <v>16</v>
      </c>
      <c r="T95" s="6">
        <f t="shared" si="37"/>
        <v>25.26</v>
      </c>
      <c r="U95" s="4">
        <f>ROUND($Q95*SUMIFS(PrefFlows!$C:$C,PrefFlows!$A:$A,$Q$1,PrefFlows!$B:$B,$B95)+$R95*SUMIFS(PrefFlows!$C:$C,PrefFlows!$A:$A,$R$1,PrefFlows!$B:$B,$B95)+$S95*SUMIFS(PrefFlows!$C:$C,PrefFlows!$A:$A,$S$1,PrefFlows!$B:$B,$B95),2)</f>
        <v>12.12</v>
      </c>
      <c r="V95" s="3">
        <f>ROUND($Q95*(1-SUMIFS(PrefFlows!$C:$C,PrefFlows!$A:$A,$Q$1,PrefFlows!$B:$B,$B95))+$R95*(1-SUMIFS(PrefFlows!$C:$C,PrefFlows!$A:$A,$R$1,PrefFlows!$B:$B,$B95))+$S95*(1-SUMIFS(PrefFlows!$C:$C,PrefFlows!$A:$A,$S$1,PrefFlows!$B:$B,$B95)),2)</f>
        <v>14.44</v>
      </c>
      <c r="W95" s="4">
        <f t="shared" si="38"/>
        <v>15.82</v>
      </c>
      <c r="X95" s="3">
        <f t="shared" si="39"/>
        <v>10.74</v>
      </c>
      <c r="Y95" s="4">
        <f t="shared" si="40"/>
        <v>0.45629999999999998</v>
      </c>
      <c r="Z95" s="5">
        <f t="shared" si="41"/>
        <v>0.59560000000000002</v>
      </c>
      <c r="AA95" s="5">
        <f t="shared" si="42"/>
        <v>0.13930000000000001</v>
      </c>
      <c r="AB95" s="3">
        <v>3.6897528903823203E-2</v>
      </c>
      <c r="AC95" s="4">
        <f>ROUND(Q95*(1-(Exhaust!$B$2+AB95)),2)</f>
        <v>1.63</v>
      </c>
      <c r="AD95" s="5">
        <f>ROUND(R95*(1-(Exhaust!$B$3+$AB95)),2)</f>
        <v>3.67</v>
      </c>
      <c r="AE95" s="3">
        <f>ROUND(S95*(1-(Exhaust!$B$4+$AB95)),2)</f>
        <v>7.41</v>
      </c>
      <c r="AF95" s="4">
        <f>ROUND($AC95*(SUMIFS(PrefFlows!$C:$C,PrefFlows!$A:$A,$Q$1,PrefFlows!$B:$B,$B95)+$AA95)+$AD95*(SUMIFS(PrefFlows!$C:$C,PrefFlows!$A:$A,$R$1,PrefFlows!$B:$B,$B95)+$AA95)+$AE95*(SUMIFS(PrefFlows!$C:$C,PrefFlows!$A:$A,$S$1,PrefFlows!$B:$B,$B95)+$AA95),2)</f>
        <v>7.34</v>
      </c>
      <c r="AG95" s="3">
        <f>ROUND($AC95*(1-(SUMIFS(PrefFlows!$C:$C,PrefFlows!$A:$A,$Q$1,PrefFlows!$B:$B,$B95)+$AA95))+$AD95*(1-(SUMIFS(PrefFlows!$C:$C,PrefFlows!$A:$A,$R$1,PrefFlows!$B:$B,$B95)+$AA95))+$AE95*(1-(SUMIFS(PrefFlows!$C:$C,PrefFlows!$A:$A,$S$1,PrefFlows!$B:$B,$B95)+$AA95)),2)</f>
        <v>5.37</v>
      </c>
      <c r="AH95" s="4">
        <f t="shared" si="43"/>
        <v>56.69</v>
      </c>
      <c r="AI95" s="3">
        <f t="shared" si="44"/>
        <v>29.46</v>
      </c>
      <c r="AJ95" s="4">
        <f t="shared" si="45"/>
        <v>65.8</v>
      </c>
      <c r="AK95" s="3">
        <f t="shared" si="45"/>
        <v>34.200000000000003</v>
      </c>
      <c r="AL95" s="1">
        <f t="shared" si="28"/>
        <v>15.17</v>
      </c>
      <c r="AM95" s="1">
        <f t="shared" si="29"/>
        <v>15.99</v>
      </c>
      <c r="AN95" s="3">
        <f t="shared" si="30"/>
        <v>15.8</v>
      </c>
      <c r="AO95" s="1" t="b">
        <f t="shared" si="46"/>
        <v>0</v>
      </c>
      <c r="AP95" s="1" t="b">
        <f t="shared" si="46"/>
        <v>0</v>
      </c>
      <c r="AQ95" s="3" t="b">
        <f t="shared" si="47"/>
        <v>0</v>
      </c>
      <c r="AR95" s="1">
        <f t="shared" si="48"/>
        <v>0.82000000000000028</v>
      </c>
      <c r="AS95" s="1">
        <f t="shared" si="48"/>
        <v>0.63000000000000078</v>
      </c>
      <c r="AT95" s="3">
        <f t="shared" si="49"/>
        <v>0.1899999999999995</v>
      </c>
      <c r="AU95" s="1">
        <f>ROUND(IF($B95="NSW",L95*Meta!$B$6,L95),1)</f>
        <v>6713.8</v>
      </c>
      <c r="AV95" s="3">
        <f t="shared" si="31"/>
        <v>106062.5</v>
      </c>
    </row>
    <row r="96" spans="1:48" x14ac:dyDescent="0.55000000000000004">
      <c r="A96" s="2" t="s">
        <v>101</v>
      </c>
      <c r="B96" s="3" t="s">
        <v>16</v>
      </c>
      <c r="C96" s="4">
        <v>36.46</v>
      </c>
      <c r="D96" s="5">
        <v>24.18</v>
      </c>
      <c r="E96" s="5">
        <v>15.68</v>
      </c>
      <c r="F96" s="5">
        <v>14.23</v>
      </c>
      <c r="G96" s="5">
        <v>9.4499999999999993</v>
      </c>
      <c r="H96" s="5">
        <v>0</v>
      </c>
      <c r="I96" s="4">
        <v>44.82</v>
      </c>
      <c r="J96" s="3">
        <v>55.18</v>
      </c>
      <c r="K96" s="4">
        <v>74991</v>
      </c>
      <c r="L96" s="5">
        <v>3427</v>
      </c>
      <c r="M96" s="3">
        <f t="shared" si="32"/>
        <v>71564</v>
      </c>
      <c r="N96" s="5">
        <f t="shared" si="33"/>
        <v>4.5698817191396304E-2</v>
      </c>
      <c r="O96" s="4">
        <f>ROUND($C96+MIN($D96:$E96)*(1-SUMIFS(PrefFlows!$C:$C,PrefFlows!$A:$A,INDEX($D$1:$E$1,MATCH(MIN($D96:$E96),$D96:$E96,0)),PrefFlows!$B:$B,$B96)),2)</f>
        <v>40.74</v>
      </c>
      <c r="P96" s="5">
        <f>ROUND(MAX($D96:$E96)+MIN($D96:$E96)*SUMIFS(PrefFlows!$C:$C,PrefFlows!$A:$A,INDEX($D$1:$E$1,MATCH(MIN($D96:$E96),$D96:$E96,0)),PrefFlows!$B:$B,$B96),2)</f>
        <v>35.58</v>
      </c>
      <c r="Q96" s="5">
        <f t="shared" si="34"/>
        <v>14.23</v>
      </c>
      <c r="R96" s="5">
        <f t="shared" si="35"/>
        <v>9.4499999999999993</v>
      </c>
      <c r="S96" s="3">
        <f t="shared" si="36"/>
        <v>0</v>
      </c>
      <c r="T96" s="6">
        <f t="shared" si="37"/>
        <v>-5.16</v>
      </c>
      <c r="U96" s="4">
        <f>ROUND($Q96*SUMIFS(PrefFlows!$C:$C,PrefFlows!$A:$A,$Q$1,PrefFlows!$B:$B,$B96)+$R96*SUMIFS(PrefFlows!$C:$C,PrefFlows!$A:$A,$R$1,PrefFlows!$B:$B,$B96)+$S96*SUMIFS(PrefFlows!$C:$C,PrefFlows!$A:$A,$S$1,PrefFlows!$B:$B,$B96),2)</f>
        <v>9.07</v>
      </c>
      <c r="V96" s="3">
        <f>ROUND($Q96*(1-SUMIFS(PrefFlows!$C:$C,PrefFlows!$A:$A,$Q$1,PrefFlows!$B:$B,$B96))+$R96*(1-SUMIFS(PrefFlows!$C:$C,PrefFlows!$A:$A,$R$1,PrefFlows!$B:$B,$B96))+$S96*(1-SUMIFS(PrefFlows!$C:$C,PrefFlows!$A:$A,$S$1,PrefFlows!$B:$B,$B96)),2)</f>
        <v>14.61</v>
      </c>
      <c r="W96" s="4">
        <f t="shared" si="38"/>
        <v>9.24</v>
      </c>
      <c r="X96" s="3">
        <f t="shared" si="39"/>
        <v>14.44</v>
      </c>
      <c r="Y96" s="4">
        <f t="shared" si="40"/>
        <v>0.38300000000000001</v>
      </c>
      <c r="Z96" s="5">
        <f t="shared" si="41"/>
        <v>0.39019999999999999</v>
      </c>
      <c r="AA96" s="5">
        <f t="shared" si="42"/>
        <v>7.1999999999999998E-3</v>
      </c>
      <c r="AB96" s="3">
        <v>4.22968662688403E-2</v>
      </c>
      <c r="AC96" s="4">
        <f>ROUND(Q96*(1-(Exhaust!$B$2+AB96)),2)</f>
        <v>5.66</v>
      </c>
      <c r="AD96" s="5">
        <f>ROUND(R96*(1-(Exhaust!$B$3+$AB96)),2)</f>
        <v>5.27</v>
      </c>
      <c r="AE96" s="3">
        <f>ROUND(S96*(1-(Exhaust!$B$4+$AB96)),2)</f>
        <v>0</v>
      </c>
      <c r="AF96" s="4">
        <f>ROUND($AC96*(SUMIFS(PrefFlows!$C:$C,PrefFlows!$A:$A,$Q$1,PrefFlows!$B:$B,$B96)+$AA96)+$AD96*(SUMIFS(PrefFlows!$C:$C,PrefFlows!$A:$A,$R$1,PrefFlows!$B:$B,$B96)+$AA96)+$AE96*(SUMIFS(PrefFlows!$C:$C,PrefFlows!$A:$A,$S$1,PrefFlows!$B:$B,$B96)+$AA96),2)</f>
        <v>3.86</v>
      </c>
      <c r="AG96" s="3">
        <f>ROUND($AC96*(1-(SUMIFS(PrefFlows!$C:$C,PrefFlows!$A:$A,$Q$1,PrefFlows!$B:$B,$B96)+$AA96))+$AD96*(1-(SUMIFS(PrefFlows!$C:$C,PrefFlows!$A:$A,$R$1,PrefFlows!$B:$B,$B96)+$AA96))+$AE96*(1-(SUMIFS(PrefFlows!$C:$C,PrefFlows!$A:$A,$S$1,PrefFlows!$B:$B,$B96)+$AA96)),2)</f>
        <v>7.07</v>
      </c>
      <c r="AH96" s="4">
        <f t="shared" si="43"/>
        <v>39.44</v>
      </c>
      <c r="AI96" s="3">
        <f t="shared" si="44"/>
        <v>47.81</v>
      </c>
      <c r="AJ96" s="4">
        <f t="shared" si="45"/>
        <v>45.2</v>
      </c>
      <c r="AK96" s="3">
        <f t="shared" si="45"/>
        <v>54.8</v>
      </c>
      <c r="AL96" s="1">
        <f t="shared" si="28"/>
        <v>-5.18</v>
      </c>
      <c r="AM96" s="1">
        <f t="shared" si="29"/>
        <v>-4.4400000000000004</v>
      </c>
      <c r="AN96" s="3">
        <f t="shared" si="30"/>
        <v>-4.8</v>
      </c>
      <c r="AO96" s="1" t="b">
        <f t="shared" si="46"/>
        <v>0</v>
      </c>
      <c r="AP96" s="1" t="b">
        <f t="shared" si="46"/>
        <v>0</v>
      </c>
      <c r="AQ96" s="3" t="b">
        <f t="shared" si="47"/>
        <v>0</v>
      </c>
      <c r="AR96" s="1">
        <f t="shared" si="48"/>
        <v>0.73999999999999932</v>
      </c>
      <c r="AS96" s="1">
        <f t="shared" si="48"/>
        <v>0.37999999999999989</v>
      </c>
      <c r="AT96" s="3">
        <f t="shared" si="49"/>
        <v>0.35999999999999943</v>
      </c>
      <c r="AU96" s="1">
        <f>ROUND(IF($B96="NSW",L96*Meta!$B$6,L96),1)</f>
        <v>3427</v>
      </c>
      <c r="AV96" s="3">
        <f t="shared" si="31"/>
        <v>72329.8</v>
      </c>
    </row>
    <row r="97" spans="1:48" x14ac:dyDescent="0.55000000000000004">
      <c r="A97" s="2" t="s">
        <v>102</v>
      </c>
      <c r="B97" s="3" t="s">
        <v>12</v>
      </c>
      <c r="C97" s="4">
        <v>47.78</v>
      </c>
      <c r="D97" s="5">
        <v>30.85</v>
      </c>
      <c r="E97" s="5">
        <v>0</v>
      </c>
      <c r="F97" s="5">
        <v>11.12</v>
      </c>
      <c r="G97" s="5">
        <v>4.42</v>
      </c>
      <c r="H97" s="5">
        <v>5.84</v>
      </c>
      <c r="I97" s="4">
        <v>41.6</v>
      </c>
      <c r="J97" s="3">
        <v>58.4</v>
      </c>
      <c r="K97" s="4">
        <v>109167</v>
      </c>
      <c r="L97" s="5">
        <v>9663</v>
      </c>
      <c r="M97" s="3">
        <f t="shared" si="32"/>
        <v>99504</v>
      </c>
      <c r="N97" s="5">
        <f t="shared" si="33"/>
        <v>8.8515760257220591E-2</v>
      </c>
      <c r="O97" s="4">
        <f>ROUND($C97+MIN($D97:$E97)*(1-SUMIFS(PrefFlows!$C:$C,PrefFlows!$A:$A,INDEX($D$1:$E$1,MATCH(MIN($D97:$E97),$D97:$E97,0)),PrefFlows!$B:$B,$B97)),2)</f>
        <v>47.78</v>
      </c>
      <c r="P97" s="5">
        <f>ROUND(MAX($D97:$E97)+MIN($D97:$E97)*SUMIFS(PrefFlows!$C:$C,PrefFlows!$A:$A,INDEX($D$1:$E$1,MATCH(MIN($D97:$E97),$D97:$E97,0)),PrefFlows!$B:$B,$B97),2)</f>
        <v>30.85</v>
      </c>
      <c r="Q97" s="5">
        <f t="shared" si="34"/>
        <v>11.12</v>
      </c>
      <c r="R97" s="5">
        <f t="shared" si="35"/>
        <v>4.42</v>
      </c>
      <c r="S97" s="3">
        <f t="shared" si="36"/>
        <v>5.84</v>
      </c>
      <c r="T97" s="6">
        <f t="shared" si="37"/>
        <v>-16.93</v>
      </c>
      <c r="U97" s="4">
        <f>ROUND($Q97*SUMIFS(PrefFlows!$C:$C,PrefFlows!$A:$A,$Q$1,PrefFlows!$B:$B,$B97)+$R97*SUMIFS(PrefFlows!$C:$C,PrefFlows!$A:$A,$R$1,PrefFlows!$B:$B,$B97)+$S97*SUMIFS(PrefFlows!$C:$C,PrefFlows!$A:$A,$S$1,PrefFlows!$B:$B,$B97),2)</f>
        <v>10.99</v>
      </c>
      <c r="V97" s="3">
        <f>ROUND($Q97*(1-SUMIFS(PrefFlows!$C:$C,PrefFlows!$A:$A,$Q$1,PrefFlows!$B:$B,$B97))+$R97*(1-SUMIFS(PrefFlows!$C:$C,PrefFlows!$A:$A,$R$1,PrefFlows!$B:$B,$B97))+$S97*(1-SUMIFS(PrefFlows!$C:$C,PrefFlows!$A:$A,$S$1,PrefFlows!$B:$B,$B97)),2)</f>
        <v>10.39</v>
      </c>
      <c r="W97" s="4">
        <f t="shared" si="38"/>
        <v>10.75</v>
      </c>
      <c r="X97" s="3">
        <f t="shared" si="39"/>
        <v>10.62</v>
      </c>
      <c r="Y97" s="4">
        <f t="shared" si="40"/>
        <v>0.51400000000000001</v>
      </c>
      <c r="Z97" s="5">
        <f t="shared" si="41"/>
        <v>0.503</v>
      </c>
      <c r="AA97" s="5">
        <f t="shared" si="42"/>
        <v>-1.0999999999999999E-2</v>
      </c>
      <c r="AB97" s="3">
        <v>7.5781963807573405E-2</v>
      </c>
      <c r="AC97" s="4">
        <f>ROUND(Q97*(1-(Exhaust!$B$2+AB97)),2)</f>
        <v>4.05</v>
      </c>
      <c r="AD97" s="5">
        <f>ROUND(R97*(1-(Exhaust!$B$3+$AB97)),2)</f>
        <v>2.3199999999999998</v>
      </c>
      <c r="AE97" s="3">
        <f>ROUND(S97*(1-(Exhaust!$B$4+$AB97)),2)</f>
        <v>2.48</v>
      </c>
      <c r="AF97" s="4">
        <f>ROUND($AC97*(SUMIFS(PrefFlows!$C:$C,PrefFlows!$A:$A,$Q$1,PrefFlows!$B:$B,$B97)+$AA97)+$AD97*(SUMIFS(PrefFlows!$C:$C,PrefFlows!$A:$A,$R$1,PrefFlows!$B:$B,$B97)+$AA97)+$AE97*(SUMIFS(PrefFlows!$C:$C,PrefFlows!$A:$A,$S$1,PrefFlows!$B:$B,$B97)+$AA97),2)</f>
        <v>4.22</v>
      </c>
      <c r="AG97" s="3">
        <f>ROUND($AC97*(1-(SUMIFS(PrefFlows!$C:$C,PrefFlows!$A:$A,$Q$1,PrefFlows!$B:$B,$B97)+$AA97))+$AD97*(1-(SUMIFS(PrefFlows!$C:$C,PrefFlows!$A:$A,$R$1,PrefFlows!$B:$B,$B97)+$AA97))+$AE97*(1-(SUMIFS(PrefFlows!$C:$C,PrefFlows!$A:$A,$S$1,PrefFlows!$B:$B,$B97)+$AA97)),2)</f>
        <v>4.63</v>
      </c>
      <c r="AH97" s="4">
        <f t="shared" si="43"/>
        <v>35.07</v>
      </c>
      <c r="AI97" s="3">
        <f t="shared" si="44"/>
        <v>52.41</v>
      </c>
      <c r="AJ97" s="4">
        <f t="shared" si="45"/>
        <v>40.090000000000003</v>
      </c>
      <c r="AK97" s="3">
        <f t="shared" si="45"/>
        <v>59.91</v>
      </c>
      <c r="AL97" s="1">
        <f t="shared" si="28"/>
        <v>-8.4</v>
      </c>
      <c r="AM97" s="1">
        <f t="shared" si="29"/>
        <v>-9.39</v>
      </c>
      <c r="AN97" s="3">
        <f t="shared" si="30"/>
        <v>-9.91</v>
      </c>
      <c r="AO97" s="1" t="b">
        <f t="shared" si="46"/>
        <v>0</v>
      </c>
      <c r="AP97" s="1" t="b">
        <f t="shared" si="46"/>
        <v>0</v>
      </c>
      <c r="AQ97" s="3" t="b">
        <f t="shared" si="47"/>
        <v>0</v>
      </c>
      <c r="AR97" s="1">
        <f t="shared" si="48"/>
        <v>-0.99000000000000021</v>
      </c>
      <c r="AS97" s="1">
        <f t="shared" si="48"/>
        <v>-1.5099999999999998</v>
      </c>
      <c r="AT97" s="3">
        <f t="shared" si="49"/>
        <v>0.51999999999999957</v>
      </c>
      <c r="AU97" s="1">
        <f>ROUND(IF($B97="NSW",L97*Meta!$B$6,L97),1)</f>
        <v>6425.9</v>
      </c>
      <c r="AV97" s="3">
        <f t="shared" si="31"/>
        <v>104177.1</v>
      </c>
    </row>
    <row r="98" spans="1:48" x14ac:dyDescent="0.55000000000000004">
      <c r="A98" s="2" t="s">
        <v>103</v>
      </c>
      <c r="B98" s="3" t="s">
        <v>12</v>
      </c>
      <c r="C98" s="4">
        <v>16.940000000000001</v>
      </c>
      <c r="D98" s="5">
        <v>53.01</v>
      </c>
      <c r="E98" s="5">
        <v>0</v>
      </c>
      <c r="F98" s="5">
        <v>2.36</v>
      </c>
      <c r="G98" s="5">
        <v>11.48</v>
      </c>
      <c r="H98" s="5">
        <v>16.21</v>
      </c>
      <c r="I98" s="4">
        <v>63.22</v>
      </c>
      <c r="J98" s="3">
        <v>36.78</v>
      </c>
      <c r="K98" s="4">
        <v>103119</v>
      </c>
      <c r="L98" s="5">
        <v>4857</v>
      </c>
      <c r="M98" s="3">
        <f t="shared" si="32"/>
        <v>98262</v>
      </c>
      <c r="N98" s="5">
        <f t="shared" si="33"/>
        <v>4.7100922235475517E-2</v>
      </c>
      <c r="O98" s="4">
        <f>ROUND($C98+MIN($D98:$E98)*(1-SUMIFS(PrefFlows!$C:$C,PrefFlows!$A:$A,INDEX($D$1:$E$1,MATCH(MIN($D98:$E98),$D98:$E98,0)),PrefFlows!$B:$B,$B98)),2)</f>
        <v>16.940000000000001</v>
      </c>
      <c r="P98" s="5">
        <f>ROUND(MAX($D98:$E98)+MIN($D98:$E98)*SUMIFS(PrefFlows!$C:$C,PrefFlows!$A:$A,INDEX($D$1:$E$1,MATCH(MIN($D98:$E98),$D98:$E98,0)),PrefFlows!$B:$B,$B98),2)</f>
        <v>53.01</v>
      </c>
      <c r="Q98" s="5">
        <f t="shared" si="34"/>
        <v>2.36</v>
      </c>
      <c r="R98" s="5">
        <f t="shared" si="35"/>
        <v>11.48</v>
      </c>
      <c r="S98" s="3">
        <f t="shared" si="36"/>
        <v>16.21</v>
      </c>
      <c r="T98" s="6">
        <f t="shared" si="37"/>
        <v>36.07</v>
      </c>
      <c r="U98" s="4">
        <f>ROUND($Q98*SUMIFS(PrefFlows!$C:$C,PrefFlows!$A:$A,$Q$1,PrefFlows!$B:$B,$B98)+$R98*SUMIFS(PrefFlows!$C:$C,PrefFlows!$A:$A,$R$1,PrefFlows!$B:$B,$B98)+$S98*SUMIFS(PrefFlows!$C:$C,PrefFlows!$A:$A,$S$1,PrefFlows!$B:$B,$B98),2)</f>
        <v>12.03</v>
      </c>
      <c r="V98" s="3">
        <f>ROUND($Q98*(1-SUMIFS(PrefFlows!$C:$C,PrefFlows!$A:$A,$Q$1,PrefFlows!$B:$B,$B98))+$R98*(1-SUMIFS(PrefFlows!$C:$C,PrefFlows!$A:$A,$R$1,PrefFlows!$B:$B,$B98))+$S98*(1-SUMIFS(PrefFlows!$C:$C,PrefFlows!$A:$A,$S$1,PrefFlows!$B:$B,$B98)),2)</f>
        <v>18.02</v>
      </c>
      <c r="W98" s="4">
        <f t="shared" si="38"/>
        <v>10.210000000000001</v>
      </c>
      <c r="X98" s="3">
        <f t="shared" si="39"/>
        <v>19.84</v>
      </c>
      <c r="Y98" s="4">
        <f t="shared" si="40"/>
        <v>0.40029999999999999</v>
      </c>
      <c r="Z98" s="5">
        <f t="shared" si="41"/>
        <v>0.33979999999999999</v>
      </c>
      <c r="AA98" s="5">
        <f t="shared" si="42"/>
        <v>-6.0499999999999998E-2</v>
      </c>
      <c r="AB98" s="3">
        <v>-2.8963970806068699E-3</v>
      </c>
      <c r="AC98" s="4">
        <f>ROUND(Q98*(1-(Exhaust!$B$2+AB98)),2)</f>
        <v>1.05</v>
      </c>
      <c r="AD98" s="5">
        <f>ROUND(R98*(1-(Exhaust!$B$3+$AB98)),2)</f>
        <v>6.92</v>
      </c>
      <c r="AE98" s="3">
        <f>ROUND(S98*(1-(Exhaust!$B$4+$AB98)),2)</f>
        <v>8.15</v>
      </c>
      <c r="AF98" s="4">
        <f>ROUND($AC98*(SUMIFS(PrefFlows!$C:$C,PrefFlows!$A:$A,$Q$1,PrefFlows!$B:$B,$B98)+$AA98)+$AD98*(SUMIFS(PrefFlows!$C:$C,PrefFlows!$A:$A,$R$1,PrefFlows!$B:$B,$B98)+$AA98)+$AE98*(SUMIFS(PrefFlows!$C:$C,PrefFlows!$A:$A,$S$1,PrefFlows!$B:$B,$B98)+$AA98),2)</f>
        <v>5.19</v>
      </c>
      <c r="AG98" s="3">
        <f>ROUND($AC98*(1-(SUMIFS(PrefFlows!$C:$C,PrefFlows!$A:$A,$Q$1,PrefFlows!$B:$B,$B98)+$AA98))+$AD98*(1-(SUMIFS(PrefFlows!$C:$C,PrefFlows!$A:$A,$R$1,PrefFlows!$B:$B,$B98)+$AA98))+$AE98*(1-(SUMIFS(PrefFlows!$C:$C,PrefFlows!$A:$A,$S$1,PrefFlows!$B:$B,$B98)+$AA98)),2)</f>
        <v>10.93</v>
      </c>
      <c r="AH98" s="4">
        <f t="shared" si="43"/>
        <v>58.2</v>
      </c>
      <c r="AI98" s="3">
        <f t="shared" si="44"/>
        <v>27.87</v>
      </c>
      <c r="AJ98" s="4">
        <f t="shared" si="45"/>
        <v>67.62</v>
      </c>
      <c r="AK98" s="3">
        <f t="shared" si="45"/>
        <v>32.380000000000003</v>
      </c>
      <c r="AL98" s="1">
        <f t="shared" ref="AL98:AL129" si="50">ROUND(I98-50,2)</f>
        <v>13.22</v>
      </c>
      <c r="AM98" s="1">
        <f t="shared" ref="AM98:AM129" si="51">ROUND((P98+W98*0.52)/((P98+W98*0.52)+(O98+X98*0.52))*100-50,2)</f>
        <v>18.149999999999999</v>
      </c>
      <c r="AN98" s="3">
        <f t="shared" ref="AN98:AN129" si="52">ROUND(AJ98-50,2)</f>
        <v>17.62</v>
      </c>
      <c r="AO98" s="1" t="b">
        <f t="shared" si="46"/>
        <v>0</v>
      </c>
      <c r="AP98" s="1" t="b">
        <f t="shared" si="46"/>
        <v>0</v>
      </c>
      <c r="AQ98" s="3" t="b">
        <f t="shared" si="47"/>
        <v>0</v>
      </c>
      <c r="AR98" s="1">
        <f t="shared" si="48"/>
        <v>4.9299999999999979</v>
      </c>
      <c r="AS98" s="1">
        <f t="shared" si="48"/>
        <v>4.4000000000000004</v>
      </c>
      <c r="AT98" s="3">
        <f t="shared" si="49"/>
        <v>0.52999999999999758</v>
      </c>
      <c r="AU98" s="1">
        <f>ROUND(IF($B98="NSW",L98*Meta!$B$6,L98),1)</f>
        <v>3229.9</v>
      </c>
      <c r="AV98" s="3">
        <f t="shared" ref="AV98:AV129" si="53">ROUND((K98-AU98*($AU$154/$AU$153))*SUM($AJ98:$AK98)/100,1)</f>
        <v>100610.9</v>
      </c>
    </row>
    <row r="99" spans="1:48" x14ac:dyDescent="0.55000000000000004">
      <c r="A99" s="2" t="s">
        <v>206</v>
      </c>
      <c r="B99" s="3" t="s">
        <v>9</v>
      </c>
      <c r="C99" s="4">
        <v>31.78</v>
      </c>
      <c r="D99" s="5">
        <v>37.369999999999997</v>
      </c>
      <c r="E99" s="5">
        <v>0</v>
      </c>
      <c r="F99" s="5">
        <v>1.17</v>
      </c>
      <c r="G99" s="5">
        <v>24.24</v>
      </c>
      <c r="H99" s="5">
        <v>5.44</v>
      </c>
      <c r="I99" s="4">
        <v>43.75</v>
      </c>
      <c r="J99" s="3">
        <v>56.25</v>
      </c>
      <c r="K99" s="4">
        <v>101380</v>
      </c>
      <c r="L99" s="5">
        <v>4288</v>
      </c>
      <c r="M99" s="3">
        <f t="shared" si="32"/>
        <v>97092</v>
      </c>
      <c r="N99" s="5">
        <f t="shared" si="33"/>
        <v>4.2296310909449596E-2</v>
      </c>
      <c r="O99" s="4">
        <f>ROUND($C99+MIN($D99:$E99)*(1-SUMIFS(PrefFlows!$C:$C,PrefFlows!$A:$A,INDEX($D$1:$E$1,MATCH(MIN($D99:$E99),$D99:$E99,0)),PrefFlows!$B:$B,$B99)),2)</f>
        <v>31.78</v>
      </c>
      <c r="P99" s="5">
        <f>ROUND(MAX($D99:$E99)+MIN($D99:$E99)*SUMIFS(PrefFlows!$C:$C,PrefFlows!$A:$A,INDEX($D$1:$E$1,MATCH(MIN($D99:$E99),$D99:$E99,0)),PrefFlows!$B:$B,$B99),2)</f>
        <v>37.369999999999997</v>
      </c>
      <c r="Q99" s="5">
        <f t="shared" ref="Q99:Q130" si="54">ROUND(F99,2)</f>
        <v>1.17</v>
      </c>
      <c r="R99" s="5">
        <f t="shared" ref="R99:R130" si="55">ROUND(G99,2)</f>
        <v>24.24</v>
      </c>
      <c r="S99" s="3">
        <f t="shared" si="36"/>
        <v>5.44</v>
      </c>
      <c r="T99" s="6">
        <f t="shared" si="37"/>
        <v>5.59</v>
      </c>
      <c r="U99" s="4">
        <f>ROUND($Q99*SUMIFS(PrefFlows!$C:$C,PrefFlows!$A:$A,$Q$1,PrefFlows!$B:$B,$B99)+$R99*SUMIFS(PrefFlows!$C:$C,PrefFlows!$A:$A,$R$1,PrefFlows!$B:$B,$B99)+$S99*SUMIFS(PrefFlows!$C:$C,PrefFlows!$A:$A,$S$1,PrefFlows!$B:$B,$B99),2)</f>
        <v>7.5</v>
      </c>
      <c r="V99" s="3">
        <f>ROUND($Q99*(1-SUMIFS(PrefFlows!$C:$C,PrefFlows!$A:$A,$Q$1,PrefFlows!$B:$B,$B99))+$R99*(1-SUMIFS(PrefFlows!$C:$C,PrefFlows!$A:$A,$R$1,PrefFlows!$B:$B,$B99))+$S99*(1-SUMIFS(PrefFlows!$C:$C,PrefFlows!$A:$A,$S$1,PrefFlows!$B:$B,$B99)),2)</f>
        <v>23.35</v>
      </c>
      <c r="W99" s="4">
        <f t="shared" si="38"/>
        <v>6.38</v>
      </c>
      <c r="X99" s="3">
        <f t="shared" si="39"/>
        <v>24.47</v>
      </c>
      <c r="Y99" s="4">
        <f t="shared" si="40"/>
        <v>0.24310000000000001</v>
      </c>
      <c r="Z99" s="5">
        <f t="shared" si="41"/>
        <v>0.20680000000000001</v>
      </c>
      <c r="AA99" s="5">
        <f t="shared" si="42"/>
        <v>-3.6299999999999999E-2</v>
      </c>
      <c r="AB99" s="3">
        <v>-3.3358527308888601E-2</v>
      </c>
      <c r="AC99" s="4">
        <f>ROUND(Q99*(1-(Exhaust!$B$2+AB99)),2)</f>
        <v>0.55000000000000004</v>
      </c>
      <c r="AD99" s="5">
        <f>ROUND(R99*(1-(Exhaust!$B$3+$AB99)),2)</f>
        <v>15.35</v>
      </c>
      <c r="AE99" s="3">
        <f>ROUND(S99*(1-(Exhaust!$B$4+$AB99)),2)</f>
        <v>2.9</v>
      </c>
      <c r="AF99" s="4">
        <f>ROUND($AC99*(SUMIFS(PrefFlows!$C:$C,PrefFlows!$A:$A,$Q$1,PrefFlows!$B:$B,$B99)+$AA99)+$AD99*(SUMIFS(PrefFlows!$C:$C,PrefFlows!$A:$A,$R$1,PrefFlows!$B:$B,$B99)+$AA99)+$AE99*(SUMIFS(PrefFlows!$C:$C,PrefFlows!$A:$A,$S$1,PrefFlows!$B:$B,$B99)+$AA99),2)</f>
        <v>3.65</v>
      </c>
      <c r="AG99" s="3">
        <f>ROUND($AC99*(1-(SUMIFS(PrefFlows!$C:$C,PrefFlows!$A:$A,$Q$1,PrefFlows!$B:$B,$B99)+$AA99))+$AD99*(1-(SUMIFS(PrefFlows!$C:$C,PrefFlows!$A:$A,$R$1,PrefFlows!$B:$B,$B99)+$AA99))+$AE99*(1-(SUMIFS(PrefFlows!$C:$C,PrefFlows!$A:$A,$S$1,PrefFlows!$B:$B,$B99)+$AA99)),2)</f>
        <v>15.15</v>
      </c>
      <c r="AH99" s="4">
        <f t="shared" si="43"/>
        <v>41.02</v>
      </c>
      <c r="AI99" s="3">
        <f t="shared" si="44"/>
        <v>46.93</v>
      </c>
      <c r="AJ99" s="4">
        <f t="shared" si="45"/>
        <v>46.64</v>
      </c>
      <c r="AK99" s="3">
        <f t="shared" si="45"/>
        <v>53.36</v>
      </c>
      <c r="AL99" s="1">
        <f t="shared" si="50"/>
        <v>-6.25</v>
      </c>
      <c r="AM99" s="1">
        <f t="shared" si="51"/>
        <v>-2.2400000000000002</v>
      </c>
      <c r="AN99" s="3">
        <f t="shared" si="52"/>
        <v>-3.36</v>
      </c>
      <c r="AO99" s="1" t="b">
        <f t="shared" si="46"/>
        <v>0</v>
      </c>
      <c r="AP99" s="1" t="b">
        <f t="shared" si="46"/>
        <v>0</v>
      </c>
      <c r="AQ99" s="3" t="b">
        <f t="shared" si="47"/>
        <v>0</v>
      </c>
      <c r="AR99" s="1">
        <f t="shared" si="48"/>
        <v>4.01</v>
      </c>
      <c r="AS99" s="1">
        <f t="shared" si="48"/>
        <v>2.89</v>
      </c>
      <c r="AT99" s="3">
        <f t="shared" si="49"/>
        <v>1.1199999999999997</v>
      </c>
      <c r="AU99" s="1">
        <f>ROUND(IF($B99="NSW",L99*Meta!$B$6,L99),1)</f>
        <v>4288</v>
      </c>
      <c r="AV99" s="3">
        <f t="shared" si="53"/>
        <v>98050.2</v>
      </c>
    </row>
    <row r="100" spans="1:48" x14ac:dyDescent="0.55000000000000004">
      <c r="A100" s="2" t="s">
        <v>104</v>
      </c>
      <c r="B100" s="3" t="s">
        <v>12</v>
      </c>
      <c r="C100" s="4">
        <v>38.270000000000003</v>
      </c>
      <c r="D100" s="5">
        <v>44.85</v>
      </c>
      <c r="E100" s="5">
        <v>0</v>
      </c>
      <c r="F100" s="5">
        <v>4</v>
      </c>
      <c r="G100" s="5">
        <v>9.15</v>
      </c>
      <c r="H100" s="5">
        <v>3.72</v>
      </c>
      <c r="I100" s="4">
        <v>49.81</v>
      </c>
      <c r="J100" s="3">
        <v>50.19</v>
      </c>
      <c r="K100" s="4">
        <v>101289</v>
      </c>
      <c r="L100" s="5">
        <v>4338</v>
      </c>
      <c r="M100" s="3">
        <f t="shared" si="32"/>
        <v>96951</v>
      </c>
      <c r="N100" s="5">
        <f t="shared" si="33"/>
        <v>4.2827947753457926E-2</v>
      </c>
      <c r="O100" s="4">
        <f>ROUND($C100+MIN($D100:$E100)*(1-SUMIFS(PrefFlows!$C:$C,PrefFlows!$A:$A,INDEX($D$1:$E$1,MATCH(MIN($D100:$E100),$D100:$E100,0)),PrefFlows!$B:$B,$B100)),2)</f>
        <v>38.270000000000003</v>
      </c>
      <c r="P100" s="5">
        <f>ROUND(MAX($D100:$E100)+MIN($D100:$E100)*SUMIFS(PrefFlows!$C:$C,PrefFlows!$A:$A,INDEX($D$1:$E$1,MATCH(MIN($D100:$E100),$D100:$E100,0)),PrefFlows!$B:$B,$B100),2)</f>
        <v>44.85</v>
      </c>
      <c r="Q100" s="5">
        <f t="shared" si="54"/>
        <v>4</v>
      </c>
      <c r="R100" s="5">
        <f t="shared" si="55"/>
        <v>9.15</v>
      </c>
      <c r="S100" s="3">
        <f t="shared" si="36"/>
        <v>3.72</v>
      </c>
      <c r="T100" s="6">
        <f t="shared" si="37"/>
        <v>6.58</v>
      </c>
      <c r="U100" s="4">
        <f>ROUND($Q100*SUMIFS(PrefFlows!$C:$C,PrefFlows!$A:$A,$Q$1,PrefFlows!$B:$B,$B100)+$R100*SUMIFS(PrefFlows!$C:$C,PrefFlows!$A:$A,$R$1,PrefFlows!$B:$B,$B100)+$S100*SUMIFS(PrefFlows!$C:$C,PrefFlows!$A:$A,$S$1,PrefFlows!$B:$B,$B100),2)</f>
        <v>6.15</v>
      </c>
      <c r="V100" s="3">
        <f>ROUND($Q100*(1-SUMIFS(PrefFlows!$C:$C,PrefFlows!$A:$A,$Q$1,PrefFlows!$B:$B,$B100))+$R100*(1-SUMIFS(PrefFlows!$C:$C,PrefFlows!$A:$A,$R$1,PrefFlows!$B:$B,$B100))+$S100*(1-SUMIFS(PrefFlows!$C:$C,PrefFlows!$A:$A,$S$1,PrefFlows!$B:$B,$B100)),2)</f>
        <v>10.72</v>
      </c>
      <c r="W100" s="4">
        <f t="shared" si="38"/>
        <v>4.96</v>
      </c>
      <c r="X100" s="3">
        <f t="shared" si="39"/>
        <v>11.92</v>
      </c>
      <c r="Y100" s="4">
        <f t="shared" si="40"/>
        <v>0.36459999999999998</v>
      </c>
      <c r="Z100" s="5">
        <f t="shared" si="41"/>
        <v>0.29380000000000001</v>
      </c>
      <c r="AA100" s="5">
        <f t="shared" si="42"/>
        <v>-7.0800000000000002E-2</v>
      </c>
      <c r="AB100" s="3">
        <v>1.4719556625899599E-3</v>
      </c>
      <c r="AC100" s="4">
        <f>ROUND(Q100*(1-(Exhaust!$B$2+AB100)),2)</f>
        <v>1.75</v>
      </c>
      <c r="AD100" s="5">
        <f>ROUND(R100*(1-(Exhaust!$B$3+$AB100)),2)</f>
        <v>5.48</v>
      </c>
      <c r="AE100" s="3">
        <f>ROUND(S100*(1-(Exhaust!$B$4+$AB100)),2)</f>
        <v>1.85</v>
      </c>
      <c r="AF100" s="4">
        <f>ROUND($AC100*(SUMIFS(PrefFlows!$C:$C,PrefFlows!$A:$A,$Q$1,PrefFlows!$B:$B,$B100)+$AA100)+$AD100*(SUMIFS(PrefFlows!$C:$C,PrefFlows!$A:$A,$R$1,PrefFlows!$B:$B,$B100)+$AA100)+$AE100*(SUMIFS(PrefFlows!$C:$C,PrefFlows!$A:$A,$S$1,PrefFlows!$B:$B,$B100)+$AA100),2)</f>
        <v>2.4300000000000002</v>
      </c>
      <c r="AG100" s="3">
        <f>ROUND($AC100*(1-(SUMIFS(PrefFlows!$C:$C,PrefFlows!$A:$A,$Q$1,PrefFlows!$B:$B,$B100)+$AA100))+$AD100*(1-(SUMIFS(PrefFlows!$C:$C,PrefFlows!$A:$A,$R$1,PrefFlows!$B:$B,$B100)+$AA100))+$AE100*(1-(SUMIFS(PrefFlows!$C:$C,PrefFlows!$A:$A,$S$1,PrefFlows!$B:$B,$B100)+$AA100)),2)</f>
        <v>6.65</v>
      </c>
      <c r="AH100" s="4">
        <f t="shared" si="43"/>
        <v>47.28</v>
      </c>
      <c r="AI100" s="3">
        <f t="shared" si="44"/>
        <v>44.92</v>
      </c>
      <c r="AJ100" s="4">
        <f t="shared" si="45"/>
        <v>51.28</v>
      </c>
      <c r="AK100" s="3">
        <f t="shared" si="45"/>
        <v>48.72</v>
      </c>
      <c r="AL100" s="1">
        <f t="shared" si="50"/>
        <v>-0.19</v>
      </c>
      <c r="AM100" s="1">
        <f t="shared" si="51"/>
        <v>1.61</v>
      </c>
      <c r="AN100" s="3">
        <f t="shared" si="52"/>
        <v>1.28</v>
      </c>
      <c r="AO100" s="1" t="b">
        <f t="shared" si="46"/>
        <v>1</v>
      </c>
      <c r="AP100" s="1" t="b">
        <f t="shared" si="46"/>
        <v>1</v>
      </c>
      <c r="AQ100" s="3" t="b">
        <f t="shared" si="47"/>
        <v>0</v>
      </c>
      <c r="AR100" s="1">
        <f t="shared" si="48"/>
        <v>1.8</v>
      </c>
      <c r="AS100" s="1">
        <f t="shared" si="48"/>
        <v>1.47</v>
      </c>
      <c r="AT100" s="3">
        <f t="shared" si="49"/>
        <v>0.33000000000000007</v>
      </c>
      <c r="AU100" s="1">
        <f>ROUND(IF($B100="NSW",L100*Meta!$B$6,L100),1)</f>
        <v>2884.8</v>
      </c>
      <c r="AV100" s="3">
        <f t="shared" si="53"/>
        <v>99048.9</v>
      </c>
    </row>
    <row r="101" spans="1:48" x14ac:dyDescent="0.55000000000000004">
      <c r="A101" s="2" t="s">
        <v>105</v>
      </c>
      <c r="B101" s="3" t="s">
        <v>7</v>
      </c>
      <c r="C101" s="4">
        <v>48.42</v>
      </c>
      <c r="D101" s="5">
        <v>32.880000000000003</v>
      </c>
      <c r="E101" s="5">
        <v>0</v>
      </c>
      <c r="F101" s="5">
        <v>6.44</v>
      </c>
      <c r="G101" s="5">
        <v>8.6300000000000008</v>
      </c>
      <c r="H101" s="5">
        <v>3.62</v>
      </c>
      <c r="I101" s="4">
        <v>40.28</v>
      </c>
      <c r="J101" s="3">
        <v>59.72</v>
      </c>
      <c r="K101" s="4">
        <v>111725</v>
      </c>
      <c r="L101" s="5">
        <v>5021</v>
      </c>
      <c r="M101" s="3">
        <f t="shared" si="32"/>
        <v>106704</v>
      </c>
      <c r="N101" s="5">
        <f t="shared" si="33"/>
        <v>4.4940702618035358E-2</v>
      </c>
      <c r="O101" s="4">
        <f>ROUND($C101+MIN($D101:$E101)*(1-SUMIFS(PrefFlows!$C:$C,PrefFlows!$A:$A,INDEX($D$1:$E$1,MATCH(MIN($D101:$E101),$D101:$E101,0)),PrefFlows!$B:$B,$B101)),2)</f>
        <v>48.42</v>
      </c>
      <c r="P101" s="5">
        <f>ROUND(MAX($D101:$E101)+MIN($D101:$E101)*SUMIFS(PrefFlows!$C:$C,PrefFlows!$A:$A,INDEX($D$1:$E$1,MATCH(MIN($D101:$E101),$D101:$E101,0)),PrefFlows!$B:$B,$B101),2)</f>
        <v>32.880000000000003</v>
      </c>
      <c r="Q101" s="5">
        <f t="shared" si="54"/>
        <v>6.44</v>
      </c>
      <c r="R101" s="5">
        <f t="shared" si="55"/>
        <v>8.6300000000000008</v>
      </c>
      <c r="S101" s="3">
        <f t="shared" si="36"/>
        <v>3.62</v>
      </c>
      <c r="T101" s="6">
        <f t="shared" si="37"/>
        <v>-15.54</v>
      </c>
      <c r="U101" s="4">
        <f>ROUND($Q101*SUMIFS(PrefFlows!$C:$C,PrefFlows!$A:$A,$Q$1,PrefFlows!$B:$B,$B101)+$R101*SUMIFS(PrefFlows!$C:$C,PrefFlows!$A:$A,$R$1,PrefFlows!$B:$B,$B101)+$S101*SUMIFS(PrefFlows!$C:$C,PrefFlows!$A:$A,$S$1,PrefFlows!$B:$B,$B101),2)</f>
        <v>7.72</v>
      </c>
      <c r="V101" s="3">
        <f>ROUND($Q101*(1-SUMIFS(PrefFlows!$C:$C,PrefFlows!$A:$A,$Q$1,PrefFlows!$B:$B,$B101))+$R101*(1-SUMIFS(PrefFlows!$C:$C,PrefFlows!$A:$A,$R$1,PrefFlows!$B:$B,$B101))+$S101*(1-SUMIFS(PrefFlows!$C:$C,PrefFlows!$A:$A,$S$1,PrefFlows!$B:$B,$B101)),2)</f>
        <v>10.97</v>
      </c>
      <c r="W101" s="4">
        <f t="shared" si="38"/>
        <v>7.4</v>
      </c>
      <c r="X101" s="3">
        <f t="shared" si="39"/>
        <v>11.3</v>
      </c>
      <c r="Y101" s="4">
        <f t="shared" si="40"/>
        <v>0.41310000000000002</v>
      </c>
      <c r="Z101" s="5">
        <f t="shared" si="41"/>
        <v>0.3957</v>
      </c>
      <c r="AA101" s="5">
        <f t="shared" si="42"/>
        <v>-1.7399999999999999E-2</v>
      </c>
      <c r="AB101" s="3">
        <v>2.6316867206334402E-2</v>
      </c>
      <c r="AC101" s="4">
        <f>ROUND(Q101*(1-(Exhaust!$B$2+AB101)),2)</f>
        <v>2.66</v>
      </c>
      <c r="AD101" s="5">
        <f>ROUND(R101*(1-(Exhaust!$B$3+$AB101)),2)</f>
        <v>4.95</v>
      </c>
      <c r="AE101" s="3">
        <f>ROUND(S101*(1-(Exhaust!$B$4+$AB101)),2)</f>
        <v>1.71</v>
      </c>
      <c r="AF101" s="4">
        <f>ROUND($AC101*(SUMIFS(PrefFlows!$C:$C,PrefFlows!$A:$A,$Q$1,PrefFlows!$B:$B,$B101)+$AA101)+$AD101*(SUMIFS(PrefFlows!$C:$C,PrefFlows!$A:$A,$R$1,PrefFlows!$B:$B,$B101)+$AA101)+$AE101*(SUMIFS(PrefFlows!$C:$C,PrefFlows!$A:$A,$S$1,PrefFlows!$B:$B,$B101)+$AA101),2)</f>
        <v>3.42</v>
      </c>
      <c r="AG101" s="3">
        <f>ROUND($AC101*(1-(SUMIFS(PrefFlows!$C:$C,PrefFlows!$A:$A,$Q$1,PrefFlows!$B:$B,$B101)+$AA101))+$AD101*(1-(SUMIFS(PrefFlows!$C:$C,PrefFlows!$A:$A,$R$1,PrefFlows!$B:$B,$B101)+$AA101))+$AE101*(1-(SUMIFS(PrefFlows!$C:$C,PrefFlows!$A:$A,$S$1,PrefFlows!$B:$B,$B101)+$AA101)),2)</f>
        <v>5.9</v>
      </c>
      <c r="AH101" s="4">
        <f t="shared" si="43"/>
        <v>36.299999999999997</v>
      </c>
      <c r="AI101" s="3">
        <f t="shared" si="44"/>
        <v>54.32</v>
      </c>
      <c r="AJ101" s="4">
        <f t="shared" si="45"/>
        <v>40.06</v>
      </c>
      <c r="AK101" s="3">
        <f t="shared" si="45"/>
        <v>59.94</v>
      </c>
      <c r="AL101" s="1">
        <f t="shared" si="50"/>
        <v>-9.7200000000000006</v>
      </c>
      <c r="AM101" s="1">
        <f t="shared" si="51"/>
        <v>-9.65</v>
      </c>
      <c r="AN101" s="3">
        <f t="shared" si="52"/>
        <v>-9.94</v>
      </c>
      <c r="AO101" s="1" t="b">
        <f t="shared" si="46"/>
        <v>0</v>
      </c>
      <c r="AP101" s="1" t="b">
        <f t="shared" si="46"/>
        <v>0</v>
      </c>
      <c r="AQ101" s="3" t="b">
        <f t="shared" si="47"/>
        <v>0</v>
      </c>
      <c r="AR101" s="1">
        <f t="shared" si="48"/>
        <v>7.0000000000000284E-2</v>
      </c>
      <c r="AS101" s="1">
        <f t="shared" si="48"/>
        <v>-0.21999999999999886</v>
      </c>
      <c r="AT101" s="3">
        <f t="shared" si="49"/>
        <v>0.28999999999999915</v>
      </c>
      <c r="AU101" s="1">
        <f>ROUND(IF($B101="NSW",L101*Meta!$B$6,L101),1)</f>
        <v>5021</v>
      </c>
      <c r="AV101" s="3">
        <f t="shared" si="53"/>
        <v>107826</v>
      </c>
    </row>
    <row r="102" spans="1:48" x14ac:dyDescent="0.55000000000000004">
      <c r="A102" s="2" t="s">
        <v>106</v>
      </c>
      <c r="B102" s="3" t="s">
        <v>9</v>
      </c>
      <c r="C102" s="4">
        <v>15.69</v>
      </c>
      <c r="D102" s="5">
        <v>18.829999999999998</v>
      </c>
      <c r="E102" s="5">
        <v>27.86</v>
      </c>
      <c r="F102" s="5">
        <v>3.38</v>
      </c>
      <c r="G102" s="5">
        <v>3.51</v>
      </c>
      <c r="H102" s="5">
        <v>30.73</v>
      </c>
      <c r="I102" s="4">
        <v>66.23</v>
      </c>
      <c r="J102" s="3">
        <v>33.770000000000003</v>
      </c>
      <c r="K102" s="4">
        <v>105619</v>
      </c>
      <c r="L102" s="5">
        <v>11792</v>
      </c>
      <c r="M102" s="3">
        <f t="shared" si="32"/>
        <v>93827</v>
      </c>
      <c r="N102" s="5">
        <f t="shared" si="33"/>
        <v>0.11164657874056751</v>
      </c>
      <c r="O102" s="4">
        <f>ROUND($C102+MIN($D102:$E102)*(1-SUMIFS(PrefFlows!$C:$C,PrefFlows!$A:$A,INDEX($D$1:$E$1,MATCH(MIN($D102:$E102),$D102:$E102,0)),PrefFlows!$B:$B,$B102)),2)</f>
        <v>17.670000000000002</v>
      </c>
      <c r="P102" s="5">
        <f>ROUND(MAX($D102:$E102)+MIN($D102:$E102)*SUMIFS(PrefFlows!$C:$C,PrefFlows!$A:$A,INDEX($D$1:$E$1,MATCH(MIN($D102:$E102),$D102:$E102,0)),PrefFlows!$B:$B,$B102),2)</f>
        <v>44.71</v>
      </c>
      <c r="Q102" s="5">
        <f t="shared" si="54"/>
        <v>3.38</v>
      </c>
      <c r="R102" s="5">
        <f t="shared" si="55"/>
        <v>3.51</v>
      </c>
      <c r="S102" s="3">
        <f t="shared" si="36"/>
        <v>30.73</v>
      </c>
      <c r="T102" s="6">
        <f t="shared" si="37"/>
        <v>27.04</v>
      </c>
      <c r="U102" s="4">
        <f>ROUND($Q102*SUMIFS(PrefFlows!$C:$C,PrefFlows!$A:$A,$Q$1,PrefFlows!$B:$B,$B102)+$R102*SUMIFS(PrefFlows!$C:$C,PrefFlows!$A:$A,$R$1,PrefFlows!$B:$B,$B102)+$S102*SUMIFS(PrefFlows!$C:$C,PrefFlows!$A:$A,$S$1,PrefFlows!$B:$B,$B102),2)</f>
        <v>19.34</v>
      </c>
      <c r="V102" s="3">
        <f>ROUND($Q102*(1-SUMIFS(PrefFlows!$C:$C,PrefFlows!$A:$A,$Q$1,PrefFlows!$B:$B,$B102))+$R102*(1-SUMIFS(PrefFlows!$C:$C,PrefFlows!$A:$A,$R$1,PrefFlows!$B:$B,$B102))+$S102*(1-SUMIFS(PrefFlows!$C:$C,PrefFlows!$A:$A,$S$1,PrefFlows!$B:$B,$B102)),2)</f>
        <v>18.28</v>
      </c>
      <c r="W102" s="4">
        <f t="shared" si="38"/>
        <v>21.52</v>
      </c>
      <c r="X102" s="3">
        <f t="shared" si="39"/>
        <v>16.100000000000001</v>
      </c>
      <c r="Y102" s="4">
        <f t="shared" si="40"/>
        <v>0.5141</v>
      </c>
      <c r="Z102" s="5">
        <f t="shared" si="41"/>
        <v>0.57199999999999995</v>
      </c>
      <c r="AA102" s="5">
        <f t="shared" si="42"/>
        <v>5.79E-2</v>
      </c>
      <c r="AB102" s="3">
        <v>3.2650203780968702E-2</v>
      </c>
      <c r="AC102" s="4">
        <f>ROUND(Q102*(1-(Exhaust!$B$2+AB102)),2)</f>
        <v>1.38</v>
      </c>
      <c r="AD102" s="5">
        <f>ROUND(R102*(1-(Exhaust!$B$3+$AB102)),2)</f>
        <v>1.99</v>
      </c>
      <c r="AE102" s="3">
        <f>ROUND(S102*(1-(Exhaust!$B$4+$AB102)),2)</f>
        <v>14.36</v>
      </c>
      <c r="AF102" s="4">
        <f>ROUND($AC102*(SUMIFS(PrefFlows!$C:$C,PrefFlows!$A:$A,$Q$1,PrefFlows!$B:$B,$B102)+$AA102)+$AD102*(SUMIFS(PrefFlows!$C:$C,PrefFlows!$A:$A,$R$1,PrefFlows!$B:$B,$B102)+$AA102)+$AE102*(SUMIFS(PrefFlows!$C:$C,PrefFlows!$A:$A,$S$1,PrefFlows!$B:$B,$B102)+$AA102),2)</f>
        <v>9.99</v>
      </c>
      <c r="AG102" s="3">
        <f>ROUND($AC102*(1-(SUMIFS(PrefFlows!$C:$C,PrefFlows!$A:$A,$Q$1,PrefFlows!$B:$B,$B102)+$AA102))+$AD102*(1-(SUMIFS(PrefFlows!$C:$C,PrefFlows!$A:$A,$R$1,PrefFlows!$B:$B,$B102)+$AA102))+$AE102*(1-(SUMIFS(PrefFlows!$C:$C,PrefFlows!$A:$A,$S$1,PrefFlows!$B:$B,$B102)+$AA102)),2)</f>
        <v>7.74</v>
      </c>
      <c r="AH102" s="4">
        <f t="shared" si="43"/>
        <v>54.7</v>
      </c>
      <c r="AI102" s="3">
        <f t="shared" si="44"/>
        <v>25.41</v>
      </c>
      <c r="AJ102" s="4">
        <f t="shared" si="45"/>
        <v>68.28</v>
      </c>
      <c r="AK102" s="3">
        <f t="shared" si="45"/>
        <v>31.72</v>
      </c>
      <c r="AL102" s="1">
        <f t="shared" si="50"/>
        <v>16.23</v>
      </c>
      <c r="AM102" s="1">
        <f t="shared" si="51"/>
        <v>18.22</v>
      </c>
      <c r="AN102" s="3">
        <f t="shared" si="52"/>
        <v>18.28</v>
      </c>
      <c r="AO102" s="1" t="b">
        <f t="shared" si="46"/>
        <v>0</v>
      </c>
      <c r="AP102" s="1" t="b">
        <f t="shared" si="46"/>
        <v>0</v>
      </c>
      <c r="AQ102" s="3" t="b">
        <f t="shared" si="47"/>
        <v>0</v>
      </c>
      <c r="AR102" s="1">
        <f t="shared" si="48"/>
        <v>1.9899999999999984</v>
      </c>
      <c r="AS102" s="1">
        <f t="shared" si="48"/>
        <v>2.0500000000000007</v>
      </c>
      <c r="AT102" s="3">
        <f t="shared" si="49"/>
        <v>6.0000000000002274E-2</v>
      </c>
      <c r="AU102" s="1">
        <f>ROUND(IF($B102="NSW",L102*Meta!$B$6,L102),1)</f>
        <v>11792</v>
      </c>
      <c r="AV102" s="3">
        <f t="shared" si="53"/>
        <v>96462.1</v>
      </c>
    </row>
    <row r="103" spans="1:48" x14ac:dyDescent="0.55000000000000004">
      <c r="A103" s="2" t="s">
        <v>107</v>
      </c>
      <c r="B103" s="3" t="s">
        <v>21</v>
      </c>
      <c r="C103" s="4">
        <v>15.55</v>
      </c>
      <c r="D103" s="5">
        <v>56</v>
      </c>
      <c r="E103" s="5">
        <v>0</v>
      </c>
      <c r="F103" s="5">
        <v>22.83</v>
      </c>
      <c r="G103" s="5">
        <v>3.42</v>
      </c>
      <c r="H103" s="5">
        <v>2.19</v>
      </c>
      <c r="I103" s="4">
        <v>75.42</v>
      </c>
      <c r="J103" s="3">
        <v>24.58</v>
      </c>
      <c r="K103" s="4">
        <v>96573</v>
      </c>
      <c r="L103" s="5">
        <v>3813</v>
      </c>
      <c r="M103" s="3">
        <f t="shared" si="32"/>
        <v>92760</v>
      </c>
      <c r="N103" s="5">
        <f t="shared" si="33"/>
        <v>3.9483085334410237E-2</v>
      </c>
      <c r="O103" s="4">
        <f>ROUND($C103+MIN($D103:$E103)*(1-SUMIFS(PrefFlows!$C:$C,PrefFlows!$A:$A,INDEX($D$1:$E$1,MATCH(MIN($D103:$E103),$D103:$E103,0)),PrefFlows!$B:$B,$B103)),2)</f>
        <v>15.55</v>
      </c>
      <c r="P103" s="5">
        <f>ROUND(MAX($D103:$E103)+MIN($D103:$E103)*SUMIFS(PrefFlows!$C:$C,PrefFlows!$A:$A,INDEX($D$1:$E$1,MATCH(MIN($D103:$E103),$D103:$E103,0)),PrefFlows!$B:$B,$B103),2)</f>
        <v>56</v>
      </c>
      <c r="Q103" s="5">
        <f t="shared" si="54"/>
        <v>22.83</v>
      </c>
      <c r="R103" s="5">
        <f t="shared" si="55"/>
        <v>3.42</v>
      </c>
      <c r="S103" s="3">
        <f t="shared" si="36"/>
        <v>2.19</v>
      </c>
      <c r="T103" s="6">
        <f t="shared" si="37"/>
        <v>40.450000000000003</v>
      </c>
      <c r="U103" s="4">
        <f>ROUND($Q103*SUMIFS(PrefFlows!$C:$C,PrefFlows!$A:$A,$Q$1,PrefFlows!$B:$B,$B103)+$R103*SUMIFS(PrefFlows!$C:$C,PrefFlows!$A:$A,$R$1,PrefFlows!$B:$B,$B103)+$S103*SUMIFS(PrefFlows!$C:$C,PrefFlows!$A:$A,$S$1,PrefFlows!$B:$B,$B103),2)</f>
        <v>17.23</v>
      </c>
      <c r="V103" s="3">
        <f>ROUND($Q103*(1-SUMIFS(PrefFlows!$C:$C,PrefFlows!$A:$A,$Q$1,PrefFlows!$B:$B,$B103))+$R103*(1-SUMIFS(PrefFlows!$C:$C,PrefFlows!$A:$A,$R$1,PrefFlows!$B:$B,$B103))+$S103*(1-SUMIFS(PrefFlows!$C:$C,PrefFlows!$A:$A,$S$1,PrefFlows!$B:$B,$B103)),2)</f>
        <v>11.21</v>
      </c>
      <c r="W103" s="4">
        <f t="shared" si="38"/>
        <v>19.420000000000002</v>
      </c>
      <c r="X103" s="3">
        <f t="shared" si="39"/>
        <v>9.0299999999999994</v>
      </c>
      <c r="Y103" s="4">
        <f t="shared" si="40"/>
        <v>0.60580000000000001</v>
      </c>
      <c r="Z103" s="5">
        <f t="shared" si="41"/>
        <v>0.68259999999999998</v>
      </c>
      <c r="AA103" s="5">
        <f t="shared" si="42"/>
        <v>7.6799999999999993E-2</v>
      </c>
      <c r="AB103" s="3">
        <v>3.6654078229264302E-2</v>
      </c>
      <c r="AC103" s="4">
        <f>ROUND(Q103*(1-(Exhaust!$B$2+AB103)),2)</f>
        <v>9.2100000000000009</v>
      </c>
      <c r="AD103" s="5">
        <f>ROUND(R103*(1-(Exhaust!$B$3+$AB103)),2)</f>
        <v>1.93</v>
      </c>
      <c r="AE103" s="3">
        <f>ROUND(S103*(1-(Exhaust!$B$4+$AB103)),2)</f>
        <v>1.01</v>
      </c>
      <c r="AF103" s="4">
        <f>ROUND($AC103*(SUMIFS(PrefFlows!$C:$C,PrefFlows!$A:$A,$Q$1,PrefFlows!$B:$B,$B103)+$AA103)+$AD103*(SUMIFS(PrefFlows!$C:$C,PrefFlows!$A:$A,$R$1,PrefFlows!$B:$B,$B103)+$AA103)+$AE103*(SUMIFS(PrefFlows!$C:$C,PrefFlows!$A:$A,$S$1,PrefFlows!$B:$B,$B103)+$AA103),2)</f>
        <v>8.06</v>
      </c>
      <c r="AG103" s="3">
        <f>ROUND($AC103*(1-(SUMIFS(PrefFlows!$C:$C,PrefFlows!$A:$A,$Q$1,PrefFlows!$B:$B,$B103)+$AA103))+$AD103*(1-(SUMIFS(PrefFlows!$C:$C,PrefFlows!$A:$A,$R$1,PrefFlows!$B:$B,$B103)+$AA103))+$AE103*(1-(SUMIFS(PrefFlows!$C:$C,PrefFlows!$A:$A,$S$1,PrefFlows!$B:$B,$B103)+$AA103)),2)</f>
        <v>4.09</v>
      </c>
      <c r="AH103" s="4">
        <f t="shared" si="43"/>
        <v>64.06</v>
      </c>
      <c r="AI103" s="3">
        <f t="shared" si="44"/>
        <v>19.64</v>
      </c>
      <c r="AJ103" s="4">
        <f t="shared" si="45"/>
        <v>76.540000000000006</v>
      </c>
      <c r="AK103" s="3">
        <f t="shared" si="45"/>
        <v>23.46</v>
      </c>
      <c r="AL103" s="1">
        <f t="shared" si="50"/>
        <v>25.42</v>
      </c>
      <c r="AM103" s="1">
        <f t="shared" si="51"/>
        <v>26.55</v>
      </c>
      <c r="AN103" s="3">
        <f t="shared" si="52"/>
        <v>26.54</v>
      </c>
      <c r="AO103" s="1" t="b">
        <f t="shared" si="46"/>
        <v>0</v>
      </c>
      <c r="AP103" s="1" t="b">
        <f t="shared" si="46"/>
        <v>0</v>
      </c>
      <c r="AQ103" s="3" t="b">
        <f t="shared" si="47"/>
        <v>0</v>
      </c>
      <c r="AR103" s="1">
        <f t="shared" si="48"/>
        <v>1.129999999999999</v>
      </c>
      <c r="AS103" s="1">
        <f t="shared" si="48"/>
        <v>1.1199999999999974</v>
      </c>
      <c r="AT103" s="3">
        <f t="shared" si="49"/>
        <v>1.0000000000001563E-2</v>
      </c>
      <c r="AU103" s="1">
        <f>ROUND(IF($B103="NSW",L103*Meta!$B$6,L103),1)</f>
        <v>3813</v>
      </c>
      <c r="AV103" s="3">
        <f t="shared" si="53"/>
        <v>93612.1</v>
      </c>
    </row>
    <row r="104" spans="1:48" x14ac:dyDescent="0.55000000000000004">
      <c r="A104" s="2" t="s">
        <v>108</v>
      </c>
      <c r="B104" s="3" t="s">
        <v>9</v>
      </c>
      <c r="C104" s="4">
        <v>47.05</v>
      </c>
      <c r="D104" s="5">
        <v>34.56</v>
      </c>
      <c r="E104" s="5">
        <v>0</v>
      </c>
      <c r="F104" s="5">
        <v>3.58</v>
      </c>
      <c r="G104" s="5">
        <v>14.81</v>
      </c>
      <c r="H104" s="5">
        <v>0</v>
      </c>
      <c r="I104" s="4">
        <v>38.799999999999997</v>
      </c>
      <c r="J104" s="3">
        <v>61.2</v>
      </c>
      <c r="K104" s="4">
        <v>103938</v>
      </c>
      <c r="L104" s="5">
        <v>3014</v>
      </c>
      <c r="M104" s="3">
        <f t="shared" si="32"/>
        <v>100924</v>
      </c>
      <c r="N104" s="5">
        <f t="shared" si="33"/>
        <v>2.8998056533702785E-2</v>
      </c>
      <c r="O104" s="4">
        <f>ROUND($C104+MIN($D104:$E104)*(1-SUMIFS(PrefFlows!$C:$C,PrefFlows!$A:$A,INDEX($D$1:$E$1,MATCH(MIN($D104:$E104),$D104:$E104,0)),PrefFlows!$B:$B,$B104)),2)</f>
        <v>47.05</v>
      </c>
      <c r="P104" s="5">
        <f>ROUND(MAX($D104:$E104)+MIN($D104:$E104)*SUMIFS(PrefFlows!$C:$C,PrefFlows!$A:$A,INDEX($D$1:$E$1,MATCH(MIN($D104:$E104),$D104:$E104,0)),PrefFlows!$B:$B,$B104),2)</f>
        <v>34.56</v>
      </c>
      <c r="Q104" s="5">
        <f t="shared" si="54"/>
        <v>3.58</v>
      </c>
      <c r="R104" s="5">
        <f t="shared" si="55"/>
        <v>14.81</v>
      </c>
      <c r="S104" s="3">
        <f t="shared" si="36"/>
        <v>0</v>
      </c>
      <c r="T104" s="6">
        <f t="shared" si="37"/>
        <v>-12.49</v>
      </c>
      <c r="U104" s="4">
        <f>ROUND($Q104*SUMIFS(PrefFlows!$C:$C,PrefFlows!$A:$A,$Q$1,PrefFlows!$B:$B,$B104)+$R104*SUMIFS(PrefFlows!$C:$C,PrefFlows!$A:$A,$R$1,PrefFlows!$B:$B,$B104)+$S104*SUMIFS(PrefFlows!$C:$C,PrefFlows!$A:$A,$S$1,PrefFlows!$B:$B,$B104),2)</f>
        <v>4.62</v>
      </c>
      <c r="V104" s="3">
        <f>ROUND($Q104*(1-SUMIFS(PrefFlows!$C:$C,PrefFlows!$A:$A,$Q$1,PrefFlows!$B:$B,$B104))+$R104*(1-SUMIFS(PrefFlows!$C:$C,PrefFlows!$A:$A,$R$1,PrefFlows!$B:$B,$B104))+$S104*(1-SUMIFS(PrefFlows!$C:$C,PrefFlows!$A:$A,$S$1,PrefFlows!$B:$B,$B104)),2)</f>
        <v>13.77</v>
      </c>
      <c r="W104" s="4">
        <f t="shared" si="38"/>
        <v>4.24</v>
      </c>
      <c r="X104" s="3">
        <f t="shared" si="39"/>
        <v>14.15</v>
      </c>
      <c r="Y104" s="4">
        <f t="shared" si="40"/>
        <v>0.25119999999999998</v>
      </c>
      <c r="Z104" s="5">
        <f t="shared" si="41"/>
        <v>0.2306</v>
      </c>
      <c r="AA104" s="5">
        <f t="shared" si="42"/>
        <v>-2.06E-2</v>
      </c>
      <c r="AB104" s="3">
        <v>3.23639966370972E-3</v>
      </c>
      <c r="AC104" s="4">
        <f>ROUND(Q104*(1-(Exhaust!$B$2+AB104)),2)</f>
        <v>1.56</v>
      </c>
      <c r="AD104" s="5">
        <f>ROUND(R104*(1-(Exhaust!$B$3+$AB104)),2)</f>
        <v>8.84</v>
      </c>
      <c r="AE104" s="3">
        <f>ROUND(S104*(1-(Exhaust!$B$4+$AB104)),2)</f>
        <v>0</v>
      </c>
      <c r="AF104" s="4">
        <f>ROUND($AC104*(SUMIFS(PrefFlows!$C:$C,PrefFlows!$A:$A,$Q$1,PrefFlows!$B:$B,$B104)+$AA104)+$AD104*(SUMIFS(PrefFlows!$C:$C,PrefFlows!$A:$A,$R$1,PrefFlows!$B:$B,$B104)+$AA104)+$AE104*(SUMIFS(PrefFlows!$C:$C,PrefFlows!$A:$A,$S$1,PrefFlows!$B:$B,$B104)+$AA104),2)</f>
        <v>2.17</v>
      </c>
      <c r="AG104" s="3">
        <f>ROUND($AC104*(1-(SUMIFS(PrefFlows!$C:$C,PrefFlows!$A:$A,$Q$1,PrefFlows!$B:$B,$B104)+$AA104))+$AD104*(1-(SUMIFS(PrefFlows!$C:$C,PrefFlows!$A:$A,$R$1,PrefFlows!$B:$B,$B104)+$AA104))+$AE104*(1-(SUMIFS(PrefFlows!$C:$C,PrefFlows!$A:$A,$S$1,PrefFlows!$B:$B,$B104)+$AA104)),2)</f>
        <v>8.23</v>
      </c>
      <c r="AH104" s="4">
        <f t="shared" si="43"/>
        <v>36.729999999999997</v>
      </c>
      <c r="AI104" s="3">
        <f t="shared" si="44"/>
        <v>55.28</v>
      </c>
      <c r="AJ104" s="4">
        <f t="shared" si="45"/>
        <v>39.92</v>
      </c>
      <c r="AK104" s="3">
        <f t="shared" si="45"/>
        <v>60.08</v>
      </c>
      <c r="AL104" s="1">
        <f t="shared" si="50"/>
        <v>-11.2</v>
      </c>
      <c r="AM104" s="1">
        <f t="shared" si="51"/>
        <v>-9.68</v>
      </c>
      <c r="AN104" s="3">
        <f t="shared" si="52"/>
        <v>-10.08</v>
      </c>
      <c r="AO104" s="1" t="b">
        <f t="shared" si="46"/>
        <v>0</v>
      </c>
      <c r="AP104" s="1" t="b">
        <f t="shared" si="46"/>
        <v>0</v>
      </c>
      <c r="AQ104" s="3" t="b">
        <f t="shared" si="47"/>
        <v>0</v>
      </c>
      <c r="AR104" s="1">
        <f t="shared" si="48"/>
        <v>1.5199999999999996</v>
      </c>
      <c r="AS104" s="1">
        <f t="shared" si="48"/>
        <v>1.1199999999999992</v>
      </c>
      <c r="AT104" s="3">
        <f t="shared" si="49"/>
        <v>0.40000000000000036</v>
      </c>
      <c r="AU104" s="1">
        <f>ROUND(IF($B104="NSW",L104*Meta!$B$6,L104),1)</f>
        <v>3014</v>
      </c>
      <c r="AV104" s="3">
        <f t="shared" si="53"/>
        <v>101597.5</v>
      </c>
    </row>
    <row r="105" spans="1:48" x14ac:dyDescent="0.55000000000000004">
      <c r="A105" s="2" t="s">
        <v>109</v>
      </c>
      <c r="B105" s="3" t="s">
        <v>7</v>
      </c>
      <c r="C105" s="4">
        <v>13.66</v>
      </c>
      <c r="D105" s="5">
        <v>37.65</v>
      </c>
      <c r="E105" s="5">
        <v>0</v>
      </c>
      <c r="F105" s="5">
        <v>3.19</v>
      </c>
      <c r="G105" s="5">
        <v>9.26</v>
      </c>
      <c r="H105" s="5">
        <v>36.229999999999997</v>
      </c>
      <c r="I105" s="4">
        <v>52.54</v>
      </c>
      <c r="J105" s="3">
        <v>47.46</v>
      </c>
      <c r="K105" s="4">
        <v>116216</v>
      </c>
      <c r="L105" s="5">
        <v>3540</v>
      </c>
      <c r="M105" s="3">
        <f t="shared" si="32"/>
        <v>112676</v>
      </c>
      <c r="N105" s="5">
        <f t="shared" si="33"/>
        <v>3.0460521787017279E-2</v>
      </c>
      <c r="O105" s="4">
        <f>ROUND($C105+MIN($D105:$E105)*(1-SUMIFS(PrefFlows!$C:$C,PrefFlows!$A:$A,INDEX($D$1:$E$1,MATCH(MIN($D105:$E105),$D105:$E105,0)),PrefFlows!$B:$B,$B105)),2)</f>
        <v>13.66</v>
      </c>
      <c r="P105" s="5">
        <f>ROUND(MAX($D105:$E105)+MIN($D105:$E105)*SUMIFS(PrefFlows!$C:$C,PrefFlows!$A:$A,INDEX($D$1:$E$1,MATCH(MIN($D105:$E105),$D105:$E105,0)),PrefFlows!$B:$B,$B105),2)</f>
        <v>37.65</v>
      </c>
      <c r="Q105" s="5">
        <f t="shared" si="54"/>
        <v>3.19</v>
      </c>
      <c r="R105" s="5">
        <f t="shared" si="55"/>
        <v>9.26</v>
      </c>
      <c r="S105" s="3">
        <f t="shared" si="36"/>
        <v>36.229999999999997</v>
      </c>
      <c r="T105" s="6">
        <f t="shared" si="37"/>
        <v>23.99</v>
      </c>
      <c r="U105" s="4">
        <f>ROUND($Q105*SUMIFS(PrefFlows!$C:$C,PrefFlows!$A:$A,$Q$1,PrefFlows!$B:$B,$B105)+$R105*SUMIFS(PrefFlows!$C:$C,PrefFlows!$A:$A,$R$1,PrefFlows!$B:$B,$B105)+$S105*SUMIFS(PrefFlows!$C:$C,PrefFlows!$A:$A,$S$1,PrefFlows!$B:$B,$B105),2)</f>
        <v>22.92</v>
      </c>
      <c r="V105" s="3">
        <f>ROUND($Q105*(1-SUMIFS(PrefFlows!$C:$C,PrefFlows!$A:$A,$Q$1,PrefFlows!$B:$B,$B105))+$R105*(1-SUMIFS(PrefFlows!$C:$C,PrefFlows!$A:$A,$R$1,PrefFlows!$B:$B,$B105))+$S105*(1-SUMIFS(PrefFlows!$C:$C,PrefFlows!$A:$A,$S$1,PrefFlows!$B:$B,$B105)),2)</f>
        <v>25.76</v>
      </c>
      <c r="W105" s="4">
        <f t="shared" si="38"/>
        <v>14.89</v>
      </c>
      <c r="X105" s="3">
        <f t="shared" si="39"/>
        <v>33.799999999999997</v>
      </c>
      <c r="Y105" s="4">
        <f t="shared" si="40"/>
        <v>0.4708</v>
      </c>
      <c r="Z105" s="5">
        <f t="shared" si="41"/>
        <v>0.30580000000000002</v>
      </c>
      <c r="AA105" s="5">
        <f t="shared" si="42"/>
        <v>-0.16500000000000001</v>
      </c>
      <c r="AB105" s="3">
        <v>-1.07821688203877E-3</v>
      </c>
      <c r="AC105" s="4">
        <f>ROUND(Q105*(1-(Exhaust!$B$2+AB105)),2)</f>
        <v>1.41</v>
      </c>
      <c r="AD105" s="5">
        <f>ROUND(R105*(1-(Exhaust!$B$3+$AB105)),2)</f>
        <v>5.57</v>
      </c>
      <c r="AE105" s="3">
        <f>ROUND(S105*(1-(Exhaust!$B$4+$AB105)),2)</f>
        <v>18.149999999999999</v>
      </c>
      <c r="AF105" s="4">
        <f>ROUND($AC105*(SUMIFS(PrefFlows!$C:$C,PrefFlows!$A:$A,$Q$1,PrefFlows!$B:$B,$B105)+$AA105)+$AD105*(SUMIFS(PrefFlows!$C:$C,PrefFlows!$A:$A,$R$1,PrefFlows!$B:$B,$B105)+$AA105)+$AE105*(SUMIFS(PrefFlows!$C:$C,PrefFlows!$A:$A,$S$1,PrefFlows!$B:$B,$B105)+$AA105),2)</f>
        <v>7.41</v>
      </c>
      <c r="AG105" s="3">
        <f>ROUND($AC105*(1-(SUMIFS(PrefFlows!$C:$C,PrefFlows!$A:$A,$Q$1,PrefFlows!$B:$B,$B105)+$AA105))+$AD105*(1-(SUMIFS(PrefFlows!$C:$C,PrefFlows!$A:$A,$R$1,PrefFlows!$B:$B,$B105)+$AA105))+$AE105*(1-(SUMIFS(PrefFlows!$C:$C,PrefFlows!$A:$A,$S$1,PrefFlows!$B:$B,$B105)+$AA105)),2)</f>
        <v>17.72</v>
      </c>
      <c r="AH105" s="4">
        <f t="shared" si="43"/>
        <v>45.06</v>
      </c>
      <c r="AI105" s="3">
        <f t="shared" si="44"/>
        <v>31.38</v>
      </c>
      <c r="AJ105" s="4">
        <f t="shared" si="45"/>
        <v>58.95</v>
      </c>
      <c r="AK105" s="3">
        <f t="shared" si="45"/>
        <v>41.05</v>
      </c>
      <c r="AL105" s="1">
        <f t="shared" si="50"/>
        <v>2.54</v>
      </c>
      <c r="AM105" s="1">
        <f t="shared" si="51"/>
        <v>9.24</v>
      </c>
      <c r="AN105" s="3">
        <f t="shared" si="52"/>
        <v>8.9499999999999993</v>
      </c>
      <c r="AO105" s="1" t="b">
        <f t="shared" si="46"/>
        <v>0</v>
      </c>
      <c r="AP105" s="1" t="b">
        <f t="shared" si="46"/>
        <v>0</v>
      </c>
      <c r="AQ105" s="3" t="b">
        <f t="shared" si="47"/>
        <v>0</v>
      </c>
      <c r="AR105" s="1">
        <f t="shared" si="48"/>
        <v>6.7</v>
      </c>
      <c r="AS105" s="1">
        <f t="shared" si="48"/>
        <v>6.4099999999999993</v>
      </c>
      <c r="AT105" s="3">
        <f t="shared" si="49"/>
        <v>0.29000000000000092</v>
      </c>
      <c r="AU105" s="1">
        <f>ROUND(IF($B105="NSW",L105*Meta!$B$6,L105),1)</f>
        <v>3540</v>
      </c>
      <c r="AV105" s="3">
        <f t="shared" si="53"/>
        <v>113467.1</v>
      </c>
    </row>
    <row r="106" spans="1:48" x14ac:dyDescent="0.55000000000000004">
      <c r="A106" s="2" t="s">
        <v>110</v>
      </c>
      <c r="B106" s="3" t="s">
        <v>9</v>
      </c>
      <c r="C106" s="4">
        <v>39.44</v>
      </c>
      <c r="D106" s="5">
        <v>34.5</v>
      </c>
      <c r="E106" s="5">
        <v>0</v>
      </c>
      <c r="F106" s="5">
        <v>9.06</v>
      </c>
      <c r="G106" s="5">
        <v>8.35</v>
      </c>
      <c r="H106" s="5">
        <v>8.66</v>
      </c>
      <c r="I106" s="4">
        <v>44.98</v>
      </c>
      <c r="J106" s="3">
        <v>55.02</v>
      </c>
      <c r="K106" s="4">
        <v>101462</v>
      </c>
      <c r="L106" s="5">
        <v>5334</v>
      </c>
      <c r="M106" s="3">
        <f t="shared" si="32"/>
        <v>96128</v>
      </c>
      <c r="N106" s="5">
        <f t="shared" si="33"/>
        <v>5.2571406043641952E-2</v>
      </c>
      <c r="O106" s="4">
        <f>ROUND($C106+MIN($D106:$E106)*(1-SUMIFS(PrefFlows!$C:$C,PrefFlows!$A:$A,INDEX($D$1:$E$1,MATCH(MIN($D106:$E106),$D106:$E106,0)),PrefFlows!$B:$B,$B106)),2)</f>
        <v>39.44</v>
      </c>
      <c r="P106" s="5">
        <f>ROUND(MAX($D106:$E106)+MIN($D106:$E106)*SUMIFS(PrefFlows!$C:$C,PrefFlows!$A:$A,INDEX($D$1:$E$1,MATCH(MIN($D106:$E106),$D106:$E106,0)),PrefFlows!$B:$B,$B106),2)</f>
        <v>34.5</v>
      </c>
      <c r="Q106" s="5">
        <f t="shared" si="54"/>
        <v>9.06</v>
      </c>
      <c r="R106" s="5">
        <f t="shared" si="55"/>
        <v>8.35</v>
      </c>
      <c r="S106" s="3">
        <f t="shared" si="36"/>
        <v>8.66</v>
      </c>
      <c r="T106" s="6">
        <f t="shared" si="37"/>
        <v>-4.9400000000000004</v>
      </c>
      <c r="U106" s="4">
        <f>ROUND($Q106*SUMIFS(PrefFlows!$C:$C,PrefFlows!$A:$A,$Q$1,PrefFlows!$B:$B,$B106)+$R106*SUMIFS(PrefFlows!$C:$C,PrefFlows!$A:$A,$R$1,PrefFlows!$B:$B,$B106)+$S106*SUMIFS(PrefFlows!$C:$C,PrefFlows!$A:$A,$S$1,PrefFlows!$B:$B,$B106),2)</f>
        <v>11.79</v>
      </c>
      <c r="V106" s="3">
        <f>ROUND($Q106*(1-SUMIFS(PrefFlows!$C:$C,PrefFlows!$A:$A,$Q$1,PrefFlows!$B:$B,$B106))+$R106*(1-SUMIFS(PrefFlows!$C:$C,PrefFlows!$A:$A,$R$1,PrefFlows!$B:$B,$B106))+$S106*(1-SUMIFS(PrefFlows!$C:$C,PrefFlows!$A:$A,$S$1,PrefFlows!$B:$B,$B106)),2)</f>
        <v>14.28</v>
      </c>
      <c r="W106" s="4">
        <f t="shared" si="38"/>
        <v>10.48</v>
      </c>
      <c r="X106" s="3">
        <f t="shared" si="39"/>
        <v>15.58</v>
      </c>
      <c r="Y106" s="4">
        <f t="shared" si="40"/>
        <v>0.45219999999999999</v>
      </c>
      <c r="Z106" s="5">
        <f t="shared" si="41"/>
        <v>0.40210000000000001</v>
      </c>
      <c r="AA106" s="5">
        <f t="shared" si="42"/>
        <v>-5.0099999999999999E-2</v>
      </c>
      <c r="AB106" s="3">
        <v>2.7584985335242E-2</v>
      </c>
      <c r="AC106" s="4">
        <f>ROUND(Q106*(1-(Exhaust!$B$2+AB106)),2)</f>
        <v>3.74</v>
      </c>
      <c r="AD106" s="5">
        <f>ROUND(R106*(1-(Exhaust!$B$3+$AB106)),2)</f>
        <v>4.78</v>
      </c>
      <c r="AE106" s="3">
        <f>ROUND(S106*(1-(Exhaust!$B$4+$AB106)),2)</f>
        <v>4.09</v>
      </c>
      <c r="AF106" s="4">
        <f>ROUND($AC106*(SUMIFS(PrefFlows!$C:$C,PrefFlows!$A:$A,$Q$1,PrefFlows!$B:$B,$B106)+$AA106)+$AD106*(SUMIFS(PrefFlows!$C:$C,PrefFlows!$A:$A,$R$1,PrefFlows!$B:$B,$B106)+$AA106)+$AE106*(SUMIFS(PrefFlows!$C:$C,PrefFlows!$A:$A,$S$1,PrefFlows!$B:$B,$B106)+$AA106),2)</f>
        <v>4.72</v>
      </c>
      <c r="AG106" s="3">
        <f>ROUND($AC106*(1-(SUMIFS(PrefFlows!$C:$C,PrefFlows!$A:$A,$Q$1,PrefFlows!$B:$B,$B106)+$AA106))+$AD106*(1-(SUMIFS(PrefFlows!$C:$C,PrefFlows!$A:$A,$R$1,PrefFlows!$B:$B,$B106)+$AA106))+$AE106*(1-(SUMIFS(PrefFlows!$C:$C,PrefFlows!$A:$A,$S$1,PrefFlows!$B:$B,$B106)+$AA106)),2)</f>
        <v>7.89</v>
      </c>
      <c r="AH106" s="4">
        <f t="shared" si="43"/>
        <v>39.22</v>
      </c>
      <c r="AI106" s="3">
        <f t="shared" si="44"/>
        <v>47.33</v>
      </c>
      <c r="AJ106" s="4">
        <f t="shared" si="45"/>
        <v>45.31</v>
      </c>
      <c r="AK106" s="3">
        <f t="shared" si="45"/>
        <v>54.69</v>
      </c>
      <c r="AL106" s="1">
        <f t="shared" si="50"/>
        <v>-5.0199999999999996</v>
      </c>
      <c r="AM106" s="1">
        <f t="shared" si="51"/>
        <v>-4.34</v>
      </c>
      <c r="AN106" s="3">
        <f t="shared" si="52"/>
        <v>-4.6900000000000004</v>
      </c>
      <c r="AO106" s="1" t="b">
        <f t="shared" si="46"/>
        <v>0</v>
      </c>
      <c r="AP106" s="1" t="b">
        <f t="shared" si="46"/>
        <v>0</v>
      </c>
      <c r="AQ106" s="3" t="b">
        <f t="shared" si="47"/>
        <v>0</v>
      </c>
      <c r="AR106" s="1">
        <f t="shared" si="48"/>
        <v>0.67999999999999972</v>
      </c>
      <c r="AS106" s="1">
        <f t="shared" si="48"/>
        <v>0.32999999999999918</v>
      </c>
      <c r="AT106" s="3">
        <f t="shared" si="49"/>
        <v>0.35000000000000053</v>
      </c>
      <c r="AU106" s="1">
        <f>ROUND(IF($B106="NSW",L106*Meta!$B$6,L106),1)</f>
        <v>5334</v>
      </c>
      <c r="AV106" s="3">
        <f t="shared" si="53"/>
        <v>97320</v>
      </c>
    </row>
    <row r="107" spans="1:48" x14ac:dyDescent="0.55000000000000004">
      <c r="A107" s="2" t="s">
        <v>191</v>
      </c>
      <c r="B107" s="3" t="s">
        <v>12</v>
      </c>
      <c r="C107" s="4">
        <v>46.08</v>
      </c>
      <c r="D107" s="5">
        <v>33.31</v>
      </c>
      <c r="E107" s="5">
        <v>0</v>
      </c>
      <c r="F107" s="5">
        <v>12.15</v>
      </c>
      <c r="G107" s="5">
        <v>4.9400000000000004</v>
      </c>
      <c r="H107" s="5">
        <v>3.52</v>
      </c>
      <c r="I107" s="4">
        <v>43.36</v>
      </c>
      <c r="J107" s="3">
        <v>56.64</v>
      </c>
      <c r="K107" s="4">
        <v>97124</v>
      </c>
      <c r="L107" s="5">
        <v>11731</v>
      </c>
      <c r="M107" s="3">
        <f t="shared" si="32"/>
        <v>85393</v>
      </c>
      <c r="N107" s="5">
        <f t="shared" si="33"/>
        <v>0.12078374037313125</v>
      </c>
      <c r="O107" s="4">
        <f>ROUND($C107+MIN($D107:$E107)*(1-SUMIFS(PrefFlows!$C:$C,PrefFlows!$A:$A,INDEX($D$1:$E$1,MATCH(MIN($D107:$E107),$D107:$E107,0)),PrefFlows!$B:$B,$B107)),2)</f>
        <v>46.08</v>
      </c>
      <c r="P107" s="5">
        <f>ROUND(MAX($D107:$E107)+MIN($D107:$E107)*SUMIFS(PrefFlows!$C:$C,PrefFlows!$A:$A,INDEX($D$1:$E$1,MATCH(MIN($D107:$E107),$D107:$E107,0)),PrefFlows!$B:$B,$B107),2)</f>
        <v>33.31</v>
      </c>
      <c r="Q107" s="5">
        <f t="shared" si="54"/>
        <v>12.15</v>
      </c>
      <c r="R107" s="5">
        <f t="shared" si="55"/>
        <v>4.9400000000000004</v>
      </c>
      <c r="S107" s="3">
        <f t="shared" si="36"/>
        <v>3.52</v>
      </c>
      <c r="T107" s="6">
        <f t="shared" si="37"/>
        <v>-12.77</v>
      </c>
      <c r="U107" s="4">
        <f>ROUND($Q107*SUMIFS(PrefFlows!$C:$C,PrefFlows!$A:$A,$Q$1,PrefFlows!$B:$B,$B107)+$R107*SUMIFS(PrefFlows!$C:$C,PrefFlows!$A:$A,$R$1,PrefFlows!$B:$B,$B107)+$S107*SUMIFS(PrefFlows!$C:$C,PrefFlows!$A:$A,$S$1,PrefFlows!$B:$B,$B107),2)</f>
        <v>10.53</v>
      </c>
      <c r="V107" s="3">
        <f>ROUND($Q107*(1-SUMIFS(PrefFlows!$C:$C,PrefFlows!$A:$A,$Q$1,PrefFlows!$B:$B,$B107))+$R107*(1-SUMIFS(PrefFlows!$C:$C,PrefFlows!$A:$A,$R$1,PrefFlows!$B:$B,$B107))+$S107*(1-SUMIFS(PrefFlows!$C:$C,PrefFlows!$A:$A,$S$1,PrefFlows!$B:$B,$B107)),2)</f>
        <v>10.08</v>
      </c>
      <c r="W107" s="4">
        <f t="shared" si="38"/>
        <v>10.050000000000001</v>
      </c>
      <c r="X107" s="3">
        <f t="shared" si="39"/>
        <v>10.56</v>
      </c>
      <c r="Y107" s="4">
        <f t="shared" si="40"/>
        <v>0.51090000000000002</v>
      </c>
      <c r="Z107" s="5">
        <f t="shared" si="41"/>
        <v>0.48759999999999998</v>
      </c>
      <c r="AA107" s="5">
        <f t="shared" si="42"/>
        <v>-2.3300000000000001E-2</v>
      </c>
      <c r="AB107" s="3">
        <v>6.3826398261286901E-2</v>
      </c>
      <c r="AC107" s="4">
        <f>ROUND(Q107*(1-(Exhaust!$B$2+AB107)),2)</f>
        <v>4.57</v>
      </c>
      <c r="AD107" s="5">
        <f>ROUND(R107*(1-(Exhaust!$B$3+$AB107)),2)</f>
        <v>2.65</v>
      </c>
      <c r="AE107" s="3">
        <f>ROUND(S107*(1-(Exhaust!$B$4+$AB107)),2)</f>
        <v>1.54</v>
      </c>
      <c r="AF107" s="4">
        <f>ROUND($AC107*(SUMIFS(PrefFlows!$C:$C,PrefFlows!$A:$A,$Q$1,PrefFlows!$B:$B,$B107)+$AA107)+$AD107*(SUMIFS(PrefFlows!$C:$C,PrefFlows!$A:$A,$R$1,PrefFlows!$B:$B,$B107)+$AA107)+$AE107*(SUMIFS(PrefFlows!$C:$C,PrefFlows!$A:$A,$S$1,PrefFlows!$B:$B,$B107)+$AA107),2)</f>
        <v>4.01</v>
      </c>
      <c r="AG107" s="3">
        <f>ROUND($AC107*(1-(SUMIFS(PrefFlows!$C:$C,PrefFlows!$A:$A,$Q$1,PrefFlows!$B:$B,$B107)+$AA107))+$AD107*(1-(SUMIFS(PrefFlows!$C:$C,PrefFlows!$A:$A,$R$1,PrefFlows!$B:$B,$B107)+$AA107))+$AE107*(1-(SUMIFS(PrefFlows!$C:$C,PrefFlows!$A:$A,$S$1,PrefFlows!$B:$B,$B107)+$AA107)),2)</f>
        <v>4.75</v>
      </c>
      <c r="AH107" s="4">
        <f t="shared" si="43"/>
        <v>37.32</v>
      </c>
      <c r="AI107" s="3">
        <f t="shared" si="44"/>
        <v>50.83</v>
      </c>
      <c r="AJ107" s="4">
        <f t="shared" si="45"/>
        <v>42.34</v>
      </c>
      <c r="AK107" s="3">
        <f t="shared" si="45"/>
        <v>57.66</v>
      </c>
      <c r="AL107" s="1">
        <f t="shared" si="50"/>
        <v>-6.64</v>
      </c>
      <c r="AM107" s="1">
        <f t="shared" si="51"/>
        <v>-7.23</v>
      </c>
      <c r="AN107" s="3">
        <f t="shared" si="52"/>
        <v>-7.66</v>
      </c>
      <c r="AO107" s="1" t="b">
        <f t="shared" si="46"/>
        <v>0</v>
      </c>
      <c r="AP107" s="1" t="b">
        <f t="shared" si="46"/>
        <v>0</v>
      </c>
      <c r="AQ107" s="3" t="b">
        <f t="shared" si="47"/>
        <v>0</v>
      </c>
      <c r="AR107" s="1">
        <f t="shared" si="48"/>
        <v>-0.59000000000000075</v>
      </c>
      <c r="AS107" s="1">
        <f t="shared" si="48"/>
        <v>-1.0200000000000005</v>
      </c>
      <c r="AT107" s="3">
        <f t="shared" si="49"/>
        <v>0.42999999999999972</v>
      </c>
      <c r="AU107" s="1">
        <f>ROUND(IF($B107="NSW",L107*Meta!$B$6,L107),1)</f>
        <v>7801.1</v>
      </c>
      <c r="AV107" s="3">
        <f t="shared" si="53"/>
        <v>91066.2</v>
      </c>
    </row>
    <row r="108" spans="1:48" x14ac:dyDescent="0.55000000000000004">
      <c r="A108" s="2" t="s">
        <v>111</v>
      </c>
      <c r="B108" s="3" t="s">
        <v>21</v>
      </c>
      <c r="C108" s="4">
        <v>22.85</v>
      </c>
      <c r="D108" s="5">
        <v>48.24</v>
      </c>
      <c r="E108" s="5">
        <v>0</v>
      </c>
      <c r="F108" s="5">
        <v>9.19</v>
      </c>
      <c r="G108" s="5">
        <v>10.99</v>
      </c>
      <c r="H108" s="5">
        <v>8.74</v>
      </c>
      <c r="I108" s="4">
        <v>62.2</v>
      </c>
      <c r="J108" s="3">
        <v>37.799999999999997</v>
      </c>
      <c r="K108" s="4">
        <v>98771</v>
      </c>
      <c r="L108" s="5">
        <v>6250</v>
      </c>
      <c r="M108" s="3">
        <f t="shared" si="32"/>
        <v>92521</v>
      </c>
      <c r="N108" s="5">
        <f t="shared" si="33"/>
        <v>6.3277682720636622E-2</v>
      </c>
      <c r="O108" s="4">
        <f>ROUND($C108+MIN($D108:$E108)*(1-SUMIFS(PrefFlows!$C:$C,PrefFlows!$A:$A,INDEX($D$1:$E$1,MATCH(MIN($D108:$E108),$D108:$E108,0)),PrefFlows!$B:$B,$B108)),2)</f>
        <v>22.85</v>
      </c>
      <c r="P108" s="5">
        <f>ROUND(MAX($D108:$E108)+MIN($D108:$E108)*SUMIFS(PrefFlows!$C:$C,PrefFlows!$A:$A,INDEX($D$1:$E$1,MATCH(MIN($D108:$E108),$D108:$E108,0)),PrefFlows!$B:$B,$B108),2)</f>
        <v>48.24</v>
      </c>
      <c r="Q108" s="5">
        <f t="shared" si="54"/>
        <v>9.19</v>
      </c>
      <c r="R108" s="5">
        <f t="shared" si="55"/>
        <v>10.99</v>
      </c>
      <c r="S108" s="3">
        <f t="shared" si="36"/>
        <v>8.74</v>
      </c>
      <c r="T108" s="6">
        <f t="shared" si="37"/>
        <v>25.39</v>
      </c>
      <c r="U108" s="4">
        <f>ROUND($Q108*SUMIFS(PrefFlows!$C:$C,PrefFlows!$A:$A,$Q$1,PrefFlows!$B:$B,$B108)+$R108*SUMIFS(PrefFlows!$C:$C,PrefFlows!$A:$A,$R$1,PrefFlows!$B:$B,$B108)+$S108*SUMIFS(PrefFlows!$C:$C,PrefFlows!$A:$A,$S$1,PrefFlows!$B:$B,$B108),2)</f>
        <v>12.87</v>
      </c>
      <c r="V108" s="3">
        <f>ROUND($Q108*(1-SUMIFS(PrefFlows!$C:$C,PrefFlows!$A:$A,$Q$1,PrefFlows!$B:$B,$B108))+$R108*(1-SUMIFS(PrefFlows!$C:$C,PrefFlows!$A:$A,$R$1,PrefFlows!$B:$B,$B108))+$S108*(1-SUMIFS(PrefFlows!$C:$C,PrefFlows!$A:$A,$S$1,PrefFlows!$B:$B,$B108)),2)</f>
        <v>16.05</v>
      </c>
      <c r="W108" s="4">
        <f t="shared" si="38"/>
        <v>13.96</v>
      </c>
      <c r="X108" s="3">
        <f t="shared" si="39"/>
        <v>14.95</v>
      </c>
      <c r="Y108" s="4">
        <f t="shared" si="40"/>
        <v>0.44500000000000001</v>
      </c>
      <c r="Z108" s="5">
        <f t="shared" si="41"/>
        <v>0.4829</v>
      </c>
      <c r="AA108" s="5">
        <f t="shared" si="42"/>
        <v>3.7900000000000003E-2</v>
      </c>
      <c r="AB108" s="3">
        <v>2.5075362022542898E-2</v>
      </c>
      <c r="AC108" s="4">
        <f>ROUND(Q108*(1-(Exhaust!$B$2+AB108)),2)</f>
        <v>3.81</v>
      </c>
      <c r="AD108" s="5">
        <f>ROUND(R108*(1-(Exhaust!$B$3+$AB108)),2)</f>
        <v>6.32</v>
      </c>
      <c r="AE108" s="3">
        <f>ROUND(S108*(1-(Exhaust!$B$4+$AB108)),2)</f>
        <v>4.1500000000000004</v>
      </c>
      <c r="AF108" s="4">
        <f>ROUND($AC108*(SUMIFS(PrefFlows!$C:$C,PrefFlows!$A:$A,$Q$1,PrefFlows!$B:$B,$B108)+$AA108)+$AD108*(SUMIFS(PrefFlows!$C:$C,PrefFlows!$A:$A,$R$1,PrefFlows!$B:$B,$B108)+$AA108)+$AE108*(SUMIFS(PrefFlows!$C:$C,PrefFlows!$A:$A,$S$1,PrefFlows!$B:$B,$B108)+$AA108),2)</f>
        <v>6.5</v>
      </c>
      <c r="AG108" s="3">
        <f>ROUND($AC108*(1-(SUMIFS(PrefFlows!$C:$C,PrefFlows!$A:$A,$Q$1,PrefFlows!$B:$B,$B108)+$AA108))+$AD108*(1-(SUMIFS(PrefFlows!$C:$C,PrefFlows!$A:$A,$R$1,PrefFlows!$B:$B,$B108)+$AA108))+$AE108*(1-(SUMIFS(PrefFlows!$C:$C,PrefFlows!$A:$A,$S$1,PrefFlows!$B:$B,$B108)+$AA108)),2)</f>
        <v>7.78</v>
      </c>
      <c r="AH108" s="4">
        <f t="shared" si="43"/>
        <v>54.74</v>
      </c>
      <c r="AI108" s="3">
        <f t="shared" si="44"/>
        <v>30.63</v>
      </c>
      <c r="AJ108" s="4">
        <f t="shared" si="45"/>
        <v>64.12</v>
      </c>
      <c r="AK108" s="3">
        <f t="shared" si="45"/>
        <v>35.880000000000003</v>
      </c>
      <c r="AL108" s="1">
        <f t="shared" si="50"/>
        <v>12.2</v>
      </c>
      <c r="AM108" s="1">
        <f t="shared" si="51"/>
        <v>14.44</v>
      </c>
      <c r="AN108" s="3">
        <f t="shared" si="52"/>
        <v>14.12</v>
      </c>
      <c r="AO108" s="1" t="b">
        <f t="shared" si="46"/>
        <v>0</v>
      </c>
      <c r="AP108" s="1" t="b">
        <f t="shared" si="46"/>
        <v>0</v>
      </c>
      <c r="AQ108" s="3" t="b">
        <f t="shared" si="47"/>
        <v>0</v>
      </c>
      <c r="AR108" s="1">
        <f t="shared" si="48"/>
        <v>2.2400000000000002</v>
      </c>
      <c r="AS108" s="1">
        <f t="shared" si="48"/>
        <v>1.92</v>
      </c>
      <c r="AT108" s="3">
        <f t="shared" si="49"/>
        <v>0.32000000000000028</v>
      </c>
      <c r="AU108" s="1">
        <f>ROUND(IF($B108="NSW",L108*Meta!$B$6,L108),1)</f>
        <v>6250</v>
      </c>
      <c r="AV108" s="3">
        <f t="shared" si="53"/>
        <v>93917.7</v>
      </c>
    </row>
    <row r="109" spans="1:48" x14ac:dyDescent="0.55000000000000004">
      <c r="A109" s="2" t="s">
        <v>112</v>
      </c>
      <c r="B109" s="3" t="s">
        <v>9</v>
      </c>
      <c r="C109" s="4">
        <v>19.739999999999998</v>
      </c>
      <c r="D109" s="5">
        <v>21.47</v>
      </c>
      <c r="E109" s="5">
        <v>0</v>
      </c>
      <c r="F109" s="5">
        <v>1.1599999999999999</v>
      </c>
      <c r="G109" s="5">
        <v>49.3</v>
      </c>
      <c r="H109" s="5">
        <v>8.34</v>
      </c>
      <c r="I109" s="4">
        <v>32.94</v>
      </c>
      <c r="J109" s="3">
        <v>67.06</v>
      </c>
      <c r="K109" s="4">
        <v>95960</v>
      </c>
      <c r="L109" s="5">
        <v>2896</v>
      </c>
      <c r="M109" s="3">
        <f t="shared" si="32"/>
        <v>93064</v>
      </c>
      <c r="N109" s="5">
        <f t="shared" si="33"/>
        <v>3.0179241350562734E-2</v>
      </c>
      <c r="O109" s="4">
        <f>ROUND($C109+MIN($D109:$E109)*(1-SUMIFS(PrefFlows!$C:$C,PrefFlows!$A:$A,INDEX($D$1:$E$1,MATCH(MIN($D109:$E109),$D109:$E109,0)),PrefFlows!$B:$B,$B109)),2)</f>
        <v>19.739999999999998</v>
      </c>
      <c r="P109" s="5">
        <f>ROUND(MAX($D109:$E109)+MIN($D109:$E109)*SUMIFS(PrefFlows!$C:$C,PrefFlows!$A:$A,INDEX($D$1:$E$1,MATCH(MIN($D109:$E109),$D109:$E109,0)),PrefFlows!$B:$B,$B109),2)</f>
        <v>21.47</v>
      </c>
      <c r="Q109" s="5">
        <f t="shared" si="54"/>
        <v>1.1599999999999999</v>
      </c>
      <c r="R109" s="5">
        <f t="shared" si="55"/>
        <v>49.3</v>
      </c>
      <c r="S109" s="3">
        <f t="shared" si="36"/>
        <v>8.34</v>
      </c>
      <c r="T109" s="6">
        <f t="shared" si="37"/>
        <v>1.73</v>
      </c>
      <c r="U109" s="4">
        <f>ROUND($Q109*SUMIFS(PrefFlows!$C:$C,PrefFlows!$A:$A,$Q$1,PrefFlows!$B:$B,$B109)+$R109*SUMIFS(PrefFlows!$C:$C,PrefFlows!$A:$A,$R$1,PrefFlows!$B:$B,$B109)+$S109*SUMIFS(PrefFlows!$C:$C,PrefFlows!$A:$A,$S$1,PrefFlows!$B:$B,$B109),2)</f>
        <v>13</v>
      </c>
      <c r="V109" s="3">
        <f>ROUND($Q109*(1-SUMIFS(PrefFlows!$C:$C,PrefFlows!$A:$A,$Q$1,PrefFlows!$B:$B,$B109))+$R109*(1-SUMIFS(PrefFlows!$C:$C,PrefFlows!$A:$A,$R$1,PrefFlows!$B:$B,$B109))+$S109*(1-SUMIFS(PrefFlows!$C:$C,PrefFlows!$A:$A,$S$1,PrefFlows!$B:$B,$B109)),2)</f>
        <v>45.8</v>
      </c>
      <c r="W109" s="4">
        <f t="shared" si="38"/>
        <v>11.47</v>
      </c>
      <c r="X109" s="3">
        <f t="shared" si="39"/>
        <v>47.32</v>
      </c>
      <c r="Y109" s="4">
        <f t="shared" si="40"/>
        <v>0.22109999999999999</v>
      </c>
      <c r="Z109" s="5">
        <f t="shared" si="41"/>
        <v>0.1951</v>
      </c>
      <c r="AA109" s="5">
        <f t="shared" si="42"/>
        <v>-2.5999999999999999E-2</v>
      </c>
      <c r="AB109" s="3">
        <v>-4.5168196171756998E-2</v>
      </c>
      <c r="AC109" s="4">
        <f>ROUND(Q109*(1-(Exhaust!$B$2+AB109)),2)</f>
        <v>0.56000000000000005</v>
      </c>
      <c r="AD109" s="5">
        <f>ROUND(R109*(1-(Exhaust!$B$3+$AB109)),2)</f>
        <v>31.81</v>
      </c>
      <c r="AE109" s="3">
        <f>ROUND(S109*(1-(Exhaust!$B$4+$AB109)),2)</f>
        <v>4.55</v>
      </c>
      <c r="AF109" s="4">
        <f>ROUND($AC109*(SUMIFS(PrefFlows!$C:$C,PrefFlows!$A:$A,$Q$1,PrefFlows!$B:$B,$B109)+$AA109)+$AD109*(SUMIFS(PrefFlows!$C:$C,PrefFlows!$A:$A,$R$1,PrefFlows!$B:$B,$B109)+$AA109)+$AE109*(SUMIFS(PrefFlows!$C:$C,PrefFlows!$A:$A,$S$1,PrefFlows!$B:$B,$B109)+$AA109),2)</f>
        <v>6.86</v>
      </c>
      <c r="AG109" s="3">
        <f>ROUND($AC109*(1-(SUMIFS(PrefFlows!$C:$C,PrefFlows!$A:$A,$Q$1,PrefFlows!$B:$B,$B109)+$AA109))+$AD109*(1-(SUMIFS(PrefFlows!$C:$C,PrefFlows!$A:$A,$R$1,PrefFlows!$B:$B,$B109)+$AA109))+$AE109*(1-(SUMIFS(PrefFlows!$C:$C,PrefFlows!$A:$A,$S$1,PrefFlows!$B:$B,$B109)+$AA109)),2)</f>
        <v>30.06</v>
      </c>
      <c r="AH109" s="4">
        <f t="shared" si="43"/>
        <v>28.33</v>
      </c>
      <c r="AI109" s="3">
        <f t="shared" si="44"/>
        <v>49.8</v>
      </c>
      <c r="AJ109" s="4">
        <f t="shared" si="45"/>
        <v>36.26</v>
      </c>
      <c r="AK109" s="3">
        <f t="shared" si="45"/>
        <v>63.74</v>
      </c>
      <c r="AL109" s="1">
        <f t="shared" si="50"/>
        <v>-17.059999999999999</v>
      </c>
      <c r="AM109" s="1">
        <f t="shared" si="51"/>
        <v>-11.78</v>
      </c>
      <c r="AN109" s="3">
        <f t="shared" si="52"/>
        <v>-13.74</v>
      </c>
      <c r="AO109" s="1" t="b">
        <f t="shared" si="46"/>
        <v>0</v>
      </c>
      <c r="AP109" s="1" t="b">
        <f t="shared" si="46"/>
        <v>0</v>
      </c>
      <c r="AQ109" s="3" t="b">
        <f t="shared" si="47"/>
        <v>0</v>
      </c>
      <c r="AR109" s="1">
        <f t="shared" si="48"/>
        <v>5.2799999999999994</v>
      </c>
      <c r="AS109" s="1">
        <f t="shared" si="48"/>
        <v>3.3199999999999985</v>
      </c>
      <c r="AT109" s="3">
        <f t="shared" si="49"/>
        <v>1.9600000000000009</v>
      </c>
      <c r="AU109" s="1">
        <f>ROUND(IF($B109="NSW",L109*Meta!$B$6,L109),1)</f>
        <v>2896</v>
      </c>
      <c r="AV109" s="3">
        <f t="shared" si="53"/>
        <v>93711.2</v>
      </c>
    </row>
    <row r="110" spans="1:48" x14ac:dyDescent="0.55000000000000004">
      <c r="A110" s="2" t="s">
        <v>113</v>
      </c>
      <c r="B110" s="3" t="s">
        <v>9</v>
      </c>
      <c r="C110" s="4">
        <v>30.04</v>
      </c>
      <c r="D110" s="5">
        <v>51.73</v>
      </c>
      <c r="E110" s="5">
        <v>0</v>
      </c>
      <c r="F110" s="5">
        <v>2.65</v>
      </c>
      <c r="G110" s="5">
        <v>10.44</v>
      </c>
      <c r="H110" s="5">
        <v>5.14</v>
      </c>
      <c r="I110" s="4">
        <v>57.53</v>
      </c>
      <c r="J110" s="3">
        <v>42.47</v>
      </c>
      <c r="K110" s="4">
        <v>101702</v>
      </c>
      <c r="L110" s="5">
        <v>3376</v>
      </c>
      <c r="M110" s="3">
        <f t="shared" si="32"/>
        <v>98326</v>
      </c>
      <c r="N110" s="5">
        <f t="shared" si="33"/>
        <v>3.3195020746887967E-2</v>
      </c>
      <c r="O110" s="4">
        <f>ROUND($C110+MIN($D110:$E110)*(1-SUMIFS(PrefFlows!$C:$C,PrefFlows!$A:$A,INDEX($D$1:$E$1,MATCH(MIN($D110:$E110),$D110:$E110,0)),PrefFlows!$B:$B,$B110)),2)</f>
        <v>30.04</v>
      </c>
      <c r="P110" s="5">
        <f>ROUND(MAX($D110:$E110)+MIN($D110:$E110)*SUMIFS(PrefFlows!$C:$C,PrefFlows!$A:$A,INDEX($D$1:$E$1,MATCH(MIN($D110:$E110),$D110:$E110,0)),PrefFlows!$B:$B,$B110),2)</f>
        <v>51.73</v>
      </c>
      <c r="Q110" s="5">
        <f t="shared" si="54"/>
        <v>2.65</v>
      </c>
      <c r="R110" s="5">
        <f t="shared" si="55"/>
        <v>10.44</v>
      </c>
      <c r="S110" s="3">
        <f t="shared" si="36"/>
        <v>5.14</v>
      </c>
      <c r="T110" s="6">
        <f t="shared" si="37"/>
        <v>21.69</v>
      </c>
      <c r="U110" s="4">
        <f>ROUND($Q110*SUMIFS(PrefFlows!$C:$C,PrefFlows!$A:$A,$Q$1,PrefFlows!$B:$B,$B110)+$R110*SUMIFS(PrefFlows!$C:$C,PrefFlows!$A:$A,$R$1,PrefFlows!$B:$B,$B110)+$S110*SUMIFS(PrefFlows!$C:$C,PrefFlows!$A:$A,$S$1,PrefFlows!$B:$B,$B110),2)</f>
        <v>6.12</v>
      </c>
      <c r="V110" s="3">
        <f>ROUND($Q110*(1-SUMIFS(PrefFlows!$C:$C,PrefFlows!$A:$A,$Q$1,PrefFlows!$B:$B,$B110))+$R110*(1-SUMIFS(PrefFlows!$C:$C,PrefFlows!$A:$A,$R$1,PrefFlows!$B:$B,$B110))+$S110*(1-SUMIFS(PrefFlows!$C:$C,PrefFlows!$A:$A,$S$1,PrefFlows!$B:$B,$B110)),2)</f>
        <v>12.11</v>
      </c>
      <c r="W110" s="4">
        <f t="shared" si="38"/>
        <v>5.8</v>
      </c>
      <c r="X110" s="3">
        <f t="shared" si="39"/>
        <v>12.43</v>
      </c>
      <c r="Y110" s="4">
        <f t="shared" si="40"/>
        <v>0.3357</v>
      </c>
      <c r="Z110" s="5">
        <f t="shared" si="41"/>
        <v>0.31819999999999998</v>
      </c>
      <c r="AA110" s="5">
        <f t="shared" si="42"/>
        <v>-1.7500000000000002E-2</v>
      </c>
      <c r="AB110" s="3">
        <v>3.83956366729614E-3</v>
      </c>
      <c r="AC110" s="4">
        <f>ROUND(Q110*(1-(Exhaust!$B$2+AB110)),2)</f>
        <v>1.1599999999999999</v>
      </c>
      <c r="AD110" s="5">
        <f>ROUND(R110*(1-(Exhaust!$B$3+$AB110)),2)</f>
        <v>6.22</v>
      </c>
      <c r="AE110" s="3">
        <f>ROUND(S110*(1-(Exhaust!$B$4+$AB110)),2)</f>
        <v>2.5499999999999998</v>
      </c>
      <c r="AF110" s="4">
        <f>ROUND($AC110*(SUMIFS(PrefFlows!$C:$C,PrefFlows!$A:$A,$Q$1,PrefFlows!$B:$B,$B110)+$AA110)+$AD110*(SUMIFS(PrefFlows!$C:$C,PrefFlows!$A:$A,$R$1,PrefFlows!$B:$B,$B110)+$AA110)+$AE110*(SUMIFS(PrefFlows!$C:$C,PrefFlows!$A:$A,$S$1,PrefFlows!$B:$B,$B110)+$AA110),2)</f>
        <v>2.93</v>
      </c>
      <c r="AG110" s="3">
        <f>ROUND($AC110*(1-(SUMIFS(PrefFlows!$C:$C,PrefFlows!$A:$A,$Q$1,PrefFlows!$B:$B,$B110)+$AA110))+$AD110*(1-(SUMIFS(PrefFlows!$C:$C,PrefFlows!$A:$A,$R$1,PrefFlows!$B:$B,$B110)+$AA110))+$AE110*(1-(SUMIFS(PrefFlows!$C:$C,PrefFlows!$A:$A,$S$1,PrefFlows!$B:$B,$B110)+$AA110)),2)</f>
        <v>7</v>
      </c>
      <c r="AH110" s="4">
        <f t="shared" si="43"/>
        <v>54.66</v>
      </c>
      <c r="AI110" s="3">
        <f t="shared" si="44"/>
        <v>37.04</v>
      </c>
      <c r="AJ110" s="4">
        <f t="shared" si="45"/>
        <v>59.61</v>
      </c>
      <c r="AK110" s="3">
        <f t="shared" si="45"/>
        <v>40.39</v>
      </c>
      <c r="AL110" s="1">
        <f t="shared" si="50"/>
        <v>7.53</v>
      </c>
      <c r="AM110" s="1">
        <f t="shared" si="51"/>
        <v>10</v>
      </c>
      <c r="AN110" s="3">
        <f t="shared" si="52"/>
        <v>9.61</v>
      </c>
      <c r="AO110" s="1" t="b">
        <f t="shared" si="46"/>
        <v>0</v>
      </c>
      <c r="AP110" s="1" t="b">
        <f t="shared" si="46"/>
        <v>0</v>
      </c>
      <c r="AQ110" s="3" t="b">
        <f t="shared" si="47"/>
        <v>0</v>
      </c>
      <c r="AR110" s="1">
        <f t="shared" si="48"/>
        <v>2.4699999999999998</v>
      </c>
      <c r="AS110" s="1">
        <f t="shared" si="48"/>
        <v>2.0799999999999992</v>
      </c>
      <c r="AT110" s="3">
        <f t="shared" si="49"/>
        <v>0.39000000000000057</v>
      </c>
      <c r="AU110" s="1">
        <f>ROUND(IF($B110="NSW",L110*Meta!$B$6,L110),1)</f>
        <v>3376</v>
      </c>
      <c r="AV110" s="3">
        <f t="shared" si="53"/>
        <v>99080.4</v>
      </c>
    </row>
    <row r="111" spans="1:48" x14ac:dyDescent="0.55000000000000004">
      <c r="A111" s="2" t="s">
        <v>114</v>
      </c>
      <c r="B111" s="3" t="s">
        <v>12</v>
      </c>
      <c r="C111" s="4">
        <v>23.94</v>
      </c>
      <c r="D111" s="5">
        <v>62.05</v>
      </c>
      <c r="E111" s="5">
        <v>0</v>
      </c>
      <c r="F111" s="5">
        <v>2.74</v>
      </c>
      <c r="G111" s="5">
        <v>8.07</v>
      </c>
      <c r="H111" s="5">
        <v>3.2</v>
      </c>
      <c r="I111" s="4">
        <v>68.63</v>
      </c>
      <c r="J111" s="3">
        <v>31.37</v>
      </c>
      <c r="K111" s="4">
        <v>103870</v>
      </c>
      <c r="L111" s="5">
        <v>5234</v>
      </c>
      <c r="M111" s="3">
        <f t="shared" si="32"/>
        <v>98636</v>
      </c>
      <c r="N111" s="5">
        <f t="shared" si="33"/>
        <v>5.038991046500433E-2</v>
      </c>
      <c r="O111" s="4">
        <f>ROUND($C111+MIN($D111:$E111)*(1-SUMIFS(PrefFlows!$C:$C,PrefFlows!$A:$A,INDEX($D$1:$E$1,MATCH(MIN($D111:$E111),$D111:$E111,0)),PrefFlows!$B:$B,$B111)),2)</f>
        <v>23.94</v>
      </c>
      <c r="P111" s="5">
        <f>ROUND(MAX($D111:$E111)+MIN($D111:$E111)*SUMIFS(PrefFlows!$C:$C,PrefFlows!$A:$A,INDEX($D$1:$E$1,MATCH(MIN($D111:$E111),$D111:$E111,0)),PrefFlows!$B:$B,$B111),2)</f>
        <v>62.05</v>
      </c>
      <c r="Q111" s="5">
        <f t="shared" si="54"/>
        <v>2.74</v>
      </c>
      <c r="R111" s="5">
        <f t="shared" si="55"/>
        <v>8.07</v>
      </c>
      <c r="S111" s="3">
        <f t="shared" si="36"/>
        <v>3.2</v>
      </c>
      <c r="T111" s="6">
        <f t="shared" si="37"/>
        <v>38.11</v>
      </c>
      <c r="U111" s="4">
        <f>ROUND($Q111*SUMIFS(PrefFlows!$C:$C,PrefFlows!$A:$A,$Q$1,PrefFlows!$B:$B,$B111)+$R111*SUMIFS(PrefFlows!$C:$C,PrefFlows!$A:$A,$R$1,PrefFlows!$B:$B,$B111)+$S111*SUMIFS(PrefFlows!$C:$C,PrefFlows!$A:$A,$S$1,PrefFlows!$B:$B,$B111),2)</f>
        <v>4.87</v>
      </c>
      <c r="V111" s="3">
        <f>ROUND($Q111*(1-SUMIFS(PrefFlows!$C:$C,PrefFlows!$A:$A,$Q$1,PrefFlows!$B:$B,$B111))+$R111*(1-SUMIFS(PrefFlows!$C:$C,PrefFlows!$A:$A,$R$1,PrefFlows!$B:$B,$B111))+$S111*(1-SUMIFS(PrefFlows!$C:$C,PrefFlows!$A:$A,$S$1,PrefFlows!$B:$B,$B111)),2)</f>
        <v>9.14</v>
      </c>
      <c r="W111" s="4">
        <f t="shared" si="38"/>
        <v>6.58</v>
      </c>
      <c r="X111" s="3">
        <f t="shared" si="39"/>
        <v>7.43</v>
      </c>
      <c r="Y111" s="4">
        <f t="shared" si="40"/>
        <v>0.34760000000000002</v>
      </c>
      <c r="Z111" s="5">
        <f t="shared" si="41"/>
        <v>0.46970000000000001</v>
      </c>
      <c r="AA111" s="5">
        <f t="shared" si="42"/>
        <v>0.1221</v>
      </c>
      <c r="AB111" s="3">
        <v>-8.5313059853792103E-5</v>
      </c>
      <c r="AC111" s="4">
        <f>ROUND(Q111*(1-(Exhaust!$B$2+AB111)),2)</f>
        <v>1.21</v>
      </c>
      <c r="AD111" s="5">
        <f>ROUND(R111*(1-(Exhaust!$B$3+$AB111)),2)</f>
        <v>4.84</v>
      </c>
      <c r="AE111" s="3">
        <f>ROUND(S111*(1-(Exhaust!$B$4+$AB111)),2)</f>
        <v>1.6</v>
      </c>
      <c r="AF111" s="4">
        <f>ROUND($AC111*(SUMIFS(PrefFlows!$C:$C,PrefFlows!$A:$A,$Q$1,PrefFlows!$B:$B,$B111)+$AA111)+$AD111*(SUMIFS(PrefFlows!$C:$C,PrefFlows!$A:$A,$R$1,PrefFlows!$B:$B,$B111)+$AA111)+$AE111*(SUMIFS(PrefFlows!$C:$C,PrefFlows!$A:$A,$S$1,PrefFlows!$B:$B,$B111)+$AA111),2)</f>
        <v>3.41</v>
      </c>
      <c r="AG111" s="3">
        <f>ROUND($AC111*(1-(SUMIFS(PrefFlows!$C:$C,PrefFlows!$A:$A,$Q$1,PrefFlows!$B:$B,$B111)+$AA111))+$AD111*(1-(SUMIFS(PrefFlows!$C:$C,PrefFlows!$A:$A,$R$1,PrefFlows!$B:$B,$B111)+$AA111))+$AE111*(1-(SUMIFS(PrefFlows!$C:$C,PrefFlows!$A:$A,$S$1,PrefFlows!$B:$B,$B111)+$AA111)),2)</f>
        <v>4.24</v>
      </c>
      <c r="AH111" s="4">
        <f t="shared" si="43"/>
        <v>65.459999999999994</v>
      </c>
      <c r="AI111" s="3">
        <f t="shared" si="44"/>
        <v>28.18</v>
      </c>
      <c r="AJ111" s="4">
        <f t="shared" si="45"/>
        <v>69.91</v>
      </c>
      <c r="AK111" s="3">
        <f t="shared" si="45"/>
        <v>30.09</v>
      </c>
      <c r="AL111" s="1">
        <f t="shared" si="50"/>
        <v>18.63</v>
      </c>
      <c r="AM111" s="1">
        <f t="shared" si="51"/>
        <v>20.190000000000001</v>
      </c>
      <c r="AN111" s="3">
        <f t="shared" si="52"/>
        <v>19.91</v>
      </c>
      <c r="AO111" s="1" t="b">
        <f t="shared" si="46"/>
        <v>0</v>
      </c>
      <c r="AP111" s="1" t="b">
        <f t="shared" si="46"/>
        <v>0</v>
      </c>
      <c r="AQ111" s="3" t="b">
        <f t="shared" si="47"/>
        <v>0</v>
      </c>
      <c r="AR111" s="1">
        <f t="shared" si="48"/>
        <v>1.5600000000000023</v>
      </c>
      <c r="AS111" s="1">
        <f t="shared" si="48"/>
        <v>1.2800000000000011</v>
      </c>
      <c r="AT111" s="3">
        <f t="shared" si="49"/>
        <v>0.28000000000000114</v>
      </c>
      <c r="AU111" s="1">
        <f>ROUND(IF($B111="NSW",L111*Meta!$B$6,L111),1)</f>
        <v>3480.6</v>
      </c>
      <c r="AV111" s="3">
        <f t="shared" si="53"/>
        <v>101167.2</v>
      </c>
    </row>
    <row r="112" spans="1:48" x14ac:dyDescent="0.55000000000000004">
      <c r="A112" s="2" t="s">
        <v>207</v>
      </c>
      <c r="B112" s="3" t="s">
        <v>9</v>
      </c>
      <c r="C112" s="4">
        <v>29.51</v>
      </c>
      <c r="D112" s="5">
        <v>46.28</v>
      </c>
      <c r="E112" s="5">
        <v>0</v>
      </c>
      <c r="F112" s="5">
        <v>11.63</v>
      </c>
      <c r="G112" s="5">
        <v>7.01</v>
      </c>
      <c r="H112" s="5">
        <v>5.57</v>
      </c>
      <c r="I112" s="4">
        <v>57.36</v>
      </c>
      <c r="J112" s="3">
        <v>42.64</v>
      </c>
      <c r="K112" s="4">
        <v>105117</v>
      </c>
      <c r="L112" s="5">
        <v>4636</v>
      </c>
      <c r="M112" s="3">
        <f t="shared" si="32"/>
        <v>100481</v>
      </c>
      <c r="N112" s="5">
        <f t="shared" si="33"/>
        <v>4.4103237345053607E-2</v>
      </c>
      <c r="O112" s="4">
        <f>ROUND($C112+MIN($D112:$E112)*(1-SUMIFS(PrefFlows!$C:$C,PrefFlows!$A:$A,INDEX($D$1:$E$1,MATCH(MIN($D112:$E112),$D112:$E112,0)),PrefFlows!$B:$B,$B112)),2)</f>
        <v>29.51</v>
      </c>
      <c r="P112" s="5">
        <f>ROUND(MAX($D112:$E112)+MIN($D112:$E112)*SUMIFS(PrefFlows!$C:$C,PrefFlows!$A:$A,INDEX($D$1:$E$1,MATCH(MIN($D112:$E112),$D112:$E112,0)),PrefFlows!$B:$B,$B112),2)</f>
        <v>46.28</v>
      </c>
      <c r="Q112" s="5">
        <f t="shared" si="54"/>
        <v>11.63</v>
      </c>
      <c r="R112" s="5">
        <f t="shared" si="55"/>
        <v>7.01</v>
      </c>
      <c r="S112" s="3">
        <f t="shared" si="36"/>
        <v>5.57</v>
      </c>
      <c r="T112" s="6">
        <f t="shared" si="37"/>
        <v>16.77</v>
      </c>
      <c r="U112" s="4">
        <f>ROUND($Q112*SUMIFS(PrefFlows!$C:$C,PrefFlows!$A:$A,$Q$1,PrefFlows!$B:$B,$B112)+$R112*SUMIFS(PrefFlows!$C:$C,PrefFlows!$A:$A,$R$1,PrefFlows!$B:$B,$B112)+$S112*SUMIFS(PrefFlows!$C:$C,PrefFlows!$A:$A,$S$1,PrefFlows!$B:$B,$B112),2)</f>
        <v>11.55</v>
      </c>
      <c r="V112" s="3">
        <f>ROUND($Q112*(1-SUMIFS(PrefFlows!$C:$C,PrefFlows!$A:$A,$Q$1,PrefFlows!$B:$B,$B112))+$R112*(1-SUMIFS(PrefFlows!$C:$C,PrefFlows!$A:$A,$R$1,PrefFlows!$B:$B,$B112))+$S112*(1-SUMIFS(PrefFlows!$C:$C,PrefFlows!$A:$A,$S$1,PrefFlows!$B:$B,$B112)),2)</f>
        <v>12.66</v>
      </c>
      <c r="W112" s="4">
        <f t="shared" si="38"/>
        <v>11.08</v>
      </c>
      <c r="X112" s="3">
        <f t="shared" si="39"/>
        <v>13.13</v>
      </c>
      <c r="Y112" s="4">
        <f t="shared" si="40"/>
        <v>0.47710000000000002</v>
      </c>
      <c r="Z112" s="5">
        <f t="shared" si="41"/>
        <v>0.4577</v>
      </c>
      <c r="AA112" s="5">
        <f t="shared" si="42"/>
        <v>-1.9400000000000001E-2</v>
      </c>
      <c r="AB112" s="3">
        <v>2.44850125632111E-2</v>
      </c>
      <c r="AC112" s="4">
        <f>ROUND(Q112*(1-(Exhaust!$B$2+AB112)),2)</f>
        <v>4.83</v>
      </c>
      <c r="AD112" s="5">
        <f>ROUND(R112*(1-(Exhaust!$B$3+$AB112)),2)</f>
        <v>4.03</v>
      </c>
      <c r="AE112" s="3">
        <f>ROUND(S112*(1-(Exhaust!$B$4+$AB112)),2)</f>
        <v>2.65</v>
      </c>
      <c r="AF112" s="4">
        <f>ROUND($AC112*(SUMIFS(PrefFlows!$C:$C,PrefFlows!$A:$A,$Q$1,PrefFlows!$B:$B,$B112)+$AA112)+$AD112*(SUMIFS(PrefFlows!$C:$C,PrefFlows!$A:$A,$R$1,PrefFlows!$B:$B,$B112)+$AA112)+$AE112*(SUMIFS(PrefFlows!$C:$C,PrefFlows!$A:$A,$S$1,PrefFlows!$B:$B,$B112)+$AA112),2)</f>
        <v>4.93</v>
      </c>
      <c r="AG112" s="3">
        <f>ROUND($AC112*(1-(SUMIFS(PrefFlows!$C:$C,PrefFlows!$A:$A,$Q$1,PrefFlows!$B:$B,$B112)+$AA112))+$AD112*(1-(SUMIFS(PrefFlows!$C:$C,PrefFlows!$A:$A,$R$1,PrefFlows!$B:$B,$B112)+$AA112))+$AE112*(1-(SUMIFS(PrefFlows!$C:$C,PrefFlows!$A:$A,$S$1,PrefFlows!$B:$B,$B112)+$AA112)),2)</f>
        <v>6.58</v>
      </c>
      <c r="AH112" s="4">
        <f t="shared" si="43"/>
        <v>51.21</v>
      </c>
      <c r="AI112" s="3">
        <f t="shared" si="44"/>
        <v>36.090000000000003</v>
      </c>
      <c r="AJ112" s="4">
        <f t="shared" si="45"/>
        <v>58.66</v>
      </c>
      <c r="AK112" s="3">
        <f t="shared" si="45"/>
        <v>41.34</v>
      </c>
      <c r="AL112" s="1">
        <f t="shared" si="50"/>
        <v>7.36</v>
      </c>
      <c r="AM112" s="1">
        <f t="shared" si="51"/>
        <v>8.8800000000000008</v>
      </c>
      <c r="AN112" s="3">
        <f t="shared" si="52"/>
        <v>8.66</v>
      </c>
      <c r="AO112" s="1" t="b">
        <f t="shared" si="46"/>
        <v>0</v>
      </c>
      <c r="AP112" s="1" t="b">
        <f t="shared" si="46"/>
        <v>0</v>
      </c>
      <c r="AQ112" s="3" t="b">
        <f t="shared" si="47"/>
        <v>0</v>
      </c>
      <c r="AR112" s="1">
        <f t="shared" si="48"/>
        <v>1.5200000000000005</v>
      </c>
      <c r="AS112" s="1">
        <f t="shared" si="48"/>
        <v>1.2999999999999998</v>
      </c>
      <c r="AT112" s="3">
        <f t="shared" si="49"/>
        <v>0.22000000000000064</v>
      </c>
      <c r="AU112" s="1">
        <f>ROUND(IF($B112="NSW",L112*Meta!$B$6,L112),1)</f>
        <v>4636</v>
      </c>
      <c r="AV112" s="3">
        <f t="shared" si="53"/>
        <v>101517</v>
      </c>
    </row>
    <row r="113" spans="1:48" x14ac:dyDescent="0.55000000000000004">
      <c r="A113" s="2" t="s">
        <v>115</v>
      </c>
      <c r="B113" s="3" t="s">
        <v>21</v>
      </c>
      <c r="C113" s="4">
        <v>21.56</v>
      </c>
      <c r="D113" s="5">
        <v>51.52</v>
      </c>
      <c r="E113" s="5">
        <v>0</v>
      </c>
      <c r="F113" s="5">
        <v>10.16</v>
      </c>
      <c r="G113" s="5">
        <v>9.68</v>
      </c>
      <c r="H113" s="5">
        <v>7.07</v>
      </c>
      <c r="I113" s="4">
        <v>65.36</v>
      </c>
      <c r="J113" s="3">
        <v>34.64</v>
      </c>
      <c r="K113" s="4">
        <v>98246</v>
      </c>
      <c r="L113" s="5">
        <v>6327</v>
      </c>
      <c r="M113" s="3">
        <f t="shared" si="32"/>
        <v>91919</v>
      </c>
      <c r="N113" s="5">
        <f t="shared" si="33"/>
        <v>6.4399568430266882E-2</v>
      </c>
      <c r="O113" s="4">
        <f>ROUND($C113+MIN($D113:$E113)*(1-SUMIFS(PrefFlows!$C:$C,PrefFlows!$A:$A,INDEX($D$1:$E$1,MATCH(MIN($D113:$E113),$D113:$E113,0)),PrefFlows!$B:$B,$B113)),2)</f>
        <v>21.56</v>
      </c>
      <c r="P113" s="5">
        <f>ROUND(MAX($D113:$E113)+MIN($D113:$E113)*SUMIFS(PrefFlows!$C:$C,PrefFlows!$A:$A,INDEX($D$1:$E$1,MATCH(MIN($D113:$E113),$D113:$E113,0)),PrefFlows!$B:$B,$B113),2)</f>
        <v>51.52</v>
      </c>
      <c r="Q113" s="5">
        <f t="shared" si="54"/>
        <v>10.16</v>
      </c>
      <c r="R113" s="5">
        <f t="shared" si="55"/>
        <v>9.68</v>
      </c>
      <c r="S113" s="3">
        <f t="shared" si="36"/>
        <v>7.07</v>
      </c>
      <c r="T113" s="6">
        <f t="shared" si="37"/>
        <v>29.96</v>
      </c>
      <c r="U113" s="4">
        <f>ROUND($Q113*SUMIFS(PrefFlows!$C:$C,PrefFlows!$A:$A,$Q$1,PrefFlows!$B:$B,$B113)+$R113*SUMIFS(PrefFlows!$C:$C,PrefFlows!$A:$A,$R$1,PrefFlows!$B:$B,$B113)+$S113*SUMIFS(PrefFlows!$C:$C,PrefFlows!$A:$A,$S$1,PrefFlows!$B:$B,$B113),2)</f>
        <v>12.42</v>
      </c>
      <c r="V113" s="3">
        <f>ROUND($Q113*(1-SUMIFS(PrefFlows!$C:$C,PrefFlows!$A:$A,$Q$1,PrefFlows!$B:$B,$B113))+$R113*(1-SUMIFS(PrefFlows!$C:$C,PrefFlows!$A:$A,$R$1,PrefFlows!$B:$B,$B113))+$S113*(1-SUMIFS(PrefFlows!$C:$C,PrefFlows!$A:$A,$S$1,PrefFlows!$B:$B,$B113)),2)</f>
        <v>14.49</v>
      </c>
      <c r="W113" s="4">
        <f t="shared" si="38"/>
        <v>13.84</v>
      </c>
      <c r="X113" s="3">
        <f t="shared" si="39"/>
        <v>13.08</v>
      </c>
      <c r="Y113" s="4">
        <f t="shared" si="40"/>
        <v>0.46150000000000002</v>
      </c>
      <c r="Z113" s="5">
        <f t="shared" si="41"/>
        <v>0.5141</v>
      </c>
      <c r="AA113" s="5">
        <f t="shared" si="42"/>
        <v>5.2600000000000001E-2</v>
      </c>
      <c r="AB113" s="3">
        <v>3.2049335905303601E-2</v>
      </c>
      <c r="AC113" s="4">
        <f>ROUND(Q113*(1-(Exhaust!$B$2+AB113)),2)</f>
        <v>4.1399999999999997</v>
      </c>
      <c r="AD113" s="5">
        <f>ROUND(R113*(1-(Exhaust!$B$3+$AB113)),2)</f>
        <v>5.5</v>
      </c>
      <c r="AE113" s="3">
        <f>ROUND(S113*(1-(Exhaust!$B$4+$AB113)),2)</f>
        <v>3.31</v>
      </c>
      <c r="AF113" s="4">
        <f>ROUND($AC113*(SUMIFS(PrefFlows!$C:$C,PrefFlows!$A:$A,$Q$1,PrefFlows!$B:$B,$B113)+$AA113)+$AD113*(SUMIFS(PrefFlows!$C:$C,PrefFlows!$A:$A,$R$1,PrefFlows!$B:$B,$B113)+$AA113)+$AE113*(SUMIFS(PrefFlows!$C:$C,PrefFlows!$A:$A,$S$1,PrefFlows!$B:$B,$B113)+$AA113),2)</f>
        <v>6.28</v>
      </c>
      <c r="AG113" s="3">
        <f>ROUND($AC113*(1-(SUMIFS(PrefFlows!$C:$C,PrefFlows!$A:$A,$Q$1,PrefFlows!$B:$B,$B113)+$AA113))+$AD113*(1-(SUMIFS(PrefFlows!$C:$C,PrefFlows!$A:$A,$R$1,PrefFlows!$B:$B,$B113)+$AA113))+$AE113*(1-(SUMIFS(PrefFlows!$C:$C,PrefFlows!$A:$A,$S$1,PrefFlows!$B:$B,$B113)+$AA113)),2)</f>
        <v>6.67</v>
      </c>
      <c r="AH113" s="4">
        <f t="shared" si="43"/>
        <v>57.8</v>
      </c>
      <c r="AI113" s="3">
        <f t="shared" si="44"/>
        <v>28.23</v>
      </c>
      <c r="AJ113" s="4">
        <f t="shared" si="45"/>
        <v>67.19</v>
      </c>
      <c r="AK113" s="3">
        <f t="shared" si="45"/>
        <v>32.81</v>
      </c>
      <c r="AL113" s="1">
        <f t="shared" si="50"/>
        <v>15.36</v>
      </c>
      <c r="AM113" s="1">
        <f t="shared" si="51"/>
        <v>17.43</v>
      </c>
      <c r="AN113" s="3">
        <f t="shared" si="52"/>
        <v>17.190000000000001</v>
      </c>
      <c r="AO113" s="1" t="b">
        <f t="shared" si="46"/>
        <v>0</v>
      </c>
      <c r="AP113" s="1" t="b">
        <f t="shared" si="46"/>
        <v>0</v>
      </c>
      <c r="AQ113" s="3" t="b">
        <f t="shared" si="47"/>
        <v>0</v>
      </c>
      <c r="AR113" s="1">
        <f t="shared" si="48"/>
        <v>2.0700000000000003</v>
      </c>
      <c r="AS113" s="1">
        <f t="shared" si="48"/>
        <v>1.8300000000000018</v>
      </c>
      <c r="AT113" s="3">
        <f t="shared" si="49"/>
        <v>0.23999999999999844</v>
      </c>
      <c r="AU113" s="1">
        <f>ROUND(IF($B113="NSW",L113*Meta!$B$6,L113),1)</f>
        <v>6327</v>
      </c>
      <c r="AV113" s="3">
        <f t="shared" si="53"/>
        <v>93332.9</v>
      </c>
    </row>
    <row r="114" spans="1:48" x14ac:dyDescent="0.55000000000000004">
      <c r="A114" s="2" t="s">
        <v>116</v>
      </c>
      <c r="B114" s="3" t="s">
        <v>29</v>
      </c>
      <c r="C114" s="4">
        <v>24.51</v>
      </c>
      <c r="D114" s="5">
        <v>51.25</v>
      </c>
      <c r="E114" s="5">
        <v>0</v>
      </c>
      <c r="F114" s="5">
        <v>6.42</v>
      </c>
      <c r="G114" s="5">
        <v>12.09</v>
      </c>
      <c r="H114" s="5">
        <v>5.72</v>
      </c>
      <c r="I114" s="4">
        <v>61.65</v>
      </c>
      <c r="J114" s="3">
        <v>38.35</v>
      </c>
      <c r="K114" s="4">
        <v>93527</v>
      </c>
      <c r="L114" s="5">
        <v>4748</v>
      </c>
      <c r="M114" s="3">
        <f t="shared" si="32"/>
        <v>88779</v>
      </c>
      <c r="N114" s="5">
        <f t="shared" si="33"/>
        <v>5.0766088936884536E-2</v>
      </c>
      <c r="O114" s="4">
        <f>ROUND($C114+MIN($D114:$E114)*(1-SUMIFS(PrefFlows!$C:$C,PrefFlows!$A:$A,INDEX($D$1:$E$1,MATCH(MIN($D114:$E114),$D114:$E114,0)),PrefFlows!$B:$B,$B114)),2)</f>
        <v>24.51</v>
      </c>
      <c r="P114" s="5">
        <f>ROUND(MAX($D114:$E114)+MIN($D114:$E114)*SUMIFS(PrefFlows!$C:$C,PrefFlows!$A:$A,INDEX($D$1:$E$1,MATCH(MIN($D114:$E114),$D114:$E114,0)),PrefFlows!$B:$B,$B114),2)</f>
        <v>51.25</v>
      </c>
      <c r="Q114" s="5">
        <f t="shared" si="54"/>
        <v>6.42</v>
      </c>
      <c r="R114" s="5">
        <f t="shared" si="55"/>
        <v>12.09</v>
      </c>
      <c r="S114" s="3">
        <f t="shared" si="36"/>
        <v>5.72</v>
      </c>
      <c r="T114" s="6">
        <f t="shared" si="37"/>
        <v>26.74</v>
      </c>
      <c r="U114" s="4">
        <f>ROUND($Q114*SUMIFS(PrefFlows!$C:$C,PrefFlows!$A:$A,$Q$1,PrefFlows!$B:$B,$B114)+$R114*SUMIFS(PrefFlows!$C:$C,PrefFlows!$A:$A,$R$1,PrefFlows!$B:$B,$B114)+$S114*SUMIFS(PrefFlows!$C:$C,PrefFlows!$A:$A,$S$1,PrefFlows!$B:$B,$B114),2)</f>
        <v>9.52</v>
      </c>
      <c r="V114" s="3">
        <f>ROUND($Q114*(1-SUMIFS(PrefFlows!$C:$C,PrefFlows!$A:$A,$Q$1,PrefFlows!$B:$B,$B114))+$R114*(1-SUMIFS(PrefFlows!$C:$C,PrefFlows!$A:$A,$R$1,PrefFlows!$B:$B,$B114))+$S114*(1-SUMIFS(PrefFlows!$C:$C,PrefFlows!$A:$A,$S$1,PrefFlows!$B:$B,$B114)),2)</f>
        <v>14.71</v>
      </c>
      <c r="W114" s="4">
        <f t="shared" si="38"/>
        <v>10.4</v>
      </c>
      <c r="X114" s="3">
        <f t="shared" si="39"/>
        <v>13.84</v>
      </c>
      <c r="Y114" s="4">
        <f t="shared" si="40"/>
        <v>0.39290000000000003</v>
      </c>
      <c r="Z114" s="5">
        <f t="shared" si="41"/>
        <v>0.42899999999999999</v>
      </c>
      <c r="AA114" s="5">
        <f t="shared" si="42"/>
        <v>3.61E-2</v>
      </c>
      <c r="AB114" s="3">
        <v>-3.1578336785409401E-4</v>
      </c>
      <c r="AC114" s="4">
        <f>ROUND(Q114*(1-(Exhaust!$B$2+AB114)),2)</f>
        <v>2.83</v>
      </c>
      <c r="AD114" s="5">
        <f>ROUND(R114*(1-(Exhaust!$B$3+$AB114)),2)</f>
        <v>7.26</v>
      </c>
      <c r="AE114" s="3">
        <f>ROUND(S114*(1-(Exhaust!$B$4+$AB114)),2)</f>
        <v>2.86</v>
      </c>
      <c r="AF114" s="4">
        <f>ROUND($AC114*(SUMIFS(PrefFlows!$C:$C,PrefFlows!$A:$A,$Q$1,PrefFlows!$B:$B,$B114)+$AA114)+$AD114*(SUMIFS(PrefFlows!$C:$C,PrefFlows!$A:$A,$R$1,PrefFlows!$B:$B,$B114)+$AA114)+$AE114*(SUMIFS(PrefFlows!$C:$C,PrefFlows!$A:$A,$S$1,PrefFlows!$B:$B,$B114)+$AA114),2)</f>
        <v>5.23</v>
      </c>
      <c r="AG114" s="3">
        <f>ROUND($AC114*(1-(SUMIFS(PrefFlows!$C:$C,PrefFlows!$A:$A,$Q$1,PrefFlows!$B:$B,$B114)+$AA114))+$AD114*(1-(SUMIFS(PrefFlows!$C:$C,PrefFlows!$A:$A,$R$1,PrefFlows!$B:$B,$B114)+$AA114))+$AE114*(1-(SUMIFS(PrefFlows!$C:$C,PrefFlows!$A:$A,$S$1,PrefFlows!$B:$B,$B114)+$AA114)),2)</f>
        <v>7.72</v>
      </c>
      <c r="AH114" s="4">
        <f t="shared" si="43"/>
        <v>56.48</v>
      </c>
      <c r="AI114" s="3">
        <f t="shared" si="44"/>
        <v>32.229999999999997</v>
      </c>
      <c r="AJ114" s="4">
        <f t="shared" si="45"/>
        <v>63.67</v>
      </c>
      <c r="AK114" s="3">
        <f t="shared" si="45"/>
        <v>36.33</v>
      </c>
      <c r="AL114" s="1">
        <f t="shared" si="50"/>
        <v>11.65</v>
      </c>
      <c r="AM114" s="1">
        <f t="shared" si="51"/>
        <v>14.12</v>
      </c>
      <c r="AN114" s="3">
        <f t="shared" si="52"/>
        <v>13.67</v>
      </c>
      <c r="AO114" s="1" t="b">
        <f t="shared" si="46"/>
        <v>0</v>
      </c>
      <c r="AP114" s="1" t="b">
        <f t="shared" si="46"/>
        <v>0</v>
      </c>
      <c r="AQ114" s="3" t="b">
        <f t="shared" si="47"/>
        <v>0</v>
      </c>
      <c r="AR114" s="1">
        <f t="shared" si="48"/>
        <v>2.4699999999999989</v>
      </c>
      <c r="AS114" s="1">
        <f t="shared" si="48"/>
        <v>2.0199999999999996</v>
      </c>
      <c r="AT114" s="3">
        <f t="shared" si="49"/>
        <v>0.44999999999999929</v>
      </c>
      <c r="AU114" s="1">
        <f>ROUND(IF($B114="NSW",L114*Meta!$B$6,L114),1)</f>
        <v>4748</v>
      </c>
      <c r="AV114" s="3">
        <f t="shared" si="53"/>
        <v>89840</v>
      </c>
    </row>
    <row r="115" spans="1:48" x14ac:dyDescent="0.55000000000000004">
      <c r="A115" s="2" t="s">
        <v>117</v>
      </c>
      <c r="B115" s="3" t="s">
        <v>21</v>
      </c>
      <c r="C115" s="4">
        <v>35.15</v>
      </c>
      <c r="D115" s="5">
        <v>40.83</v>
      </c>
      <c r="E115" s="5">
        <v>0</v>
      </c>
      <c r="F115" s="5">
        <v>5.53</v>
      </c>
      <c r="G115" s="5">
        <v>16.760000000000002</v>
      </c>
      <c r="H115" s="5">
        <v>1.72</v>
      </c>
      <c r="I115" s="4">
        <v>48.1</v>
      </c>
      <c r="J115" s="3">
        <v>51.9</v>
      </c>
      <c r="K115" s="4">
        <v>93441</v>
      </c>
      <c r="L115" s="5">
        <v>2799</v>
      </c>
      <c r="M115" s="3">
        <f t="shared" si="32"/>
        <v>90642</v>
      </c>
      <c r="N115" s="5">
        <f t="shared" si="33"/>
        <v>2.9954730792692716E-2</v>
      </c>
      <c r="O115" s="4">
        <f>ROUND($C115+MIN($D115:$E115)*(1-SUMIFS(PrefFlows!$C:$C,PrefFlows!$A:$A,INDEX($D$1:$E$1,MATCH(MIN($D115:$E115),$D115:$E115,0)),PrefFlows!$B:$B,$B115)),2)</f>
        <v>35.15</v>
      </c>
      <c r="P115" s="5">
        <f>ROUND(MAX($D115:$E115)+MIN($D115:$E115)*SUMIFS(PrefFlows!$C:$C,PrefFlows!$A:$A,INDEX($D$1:$E$1,MATCH(MIN($D115:$E115),$D115:$E115,0)),PrefFlows!$B:$B,$B115),2)</f>
        <v>40.83</v>
      </c>
      <c r="Q115" s="5">
        <f t="shared" si="54"/>
        <v>5.53</v>
      </c>
      <c r="R115" s="5">
        <f t="shared" si="55"/>
        <v>16.760000000000002</v>
      </c>
      <c r="S115" s="3">
        <f t="shared" si="36"/>
        <v>1.72</v>
      </c>
      <c r="T115" s="6">
        <f t="shared" si="37"/>
        <v>5.68</v>
      </c>
      <c r="U115" s="4">
        <f>ROUND($Q115*SUMIFS(PrefFlows!$C:$C,PrefFlows!$A:$A,$Q$1,PrefFlows!$B:$B,$B115)+$R115*SUMIFS(PrefFlows!$C:$C,PrefFlows!$A:$A,$R$1,PrefFlows!$B:$B,$B115)+$S115*SUMIFS(PrefFlows!$C:$C,PrefFlows!$A:$A,$S$1,PrefFlows!$B:$B,$B115),2)</f>
        <v>8.0399999999999991</v>
      </c>
      <c r="V115" s="3">
        <f>ROUND($Q115*(1-SUMIFS(PrefFlows!$C:$C,PrefFlows!$A:$A,$Q$1,PrefFlows!$B:$B,$B115))+$R115*(1-SUMIFS(PrefFlows!$C:$C,PrefFlows!$A:$A,$R$1,PrefFlows!$B:$B,$B115))+$S115*(1-SUMIFS(PrefFlows!$C:$C,PrefFlows!$A:$A,$S$1,PrefFlows!$B:$B,$B115)),2)</f>
        <v>15.97</v>
      </c>
      <c r="W115" s="4">
        <f t="shared" si="38"/>
        <v>7.27</v>
      </c>
      <c r="X115" s="3">
        <f t="shared" si="39"/>
        <v>16.75</v>
      </c>
      <c r="Y115" s="4">
        <f t="shared" si="40"/>
        <v>0.33489999999999998</v>
      </c>
      <c r="Z115" s="5">
        <f t="shared" si="41"/>
        <v>0.30270000000000002</v>
      </c>
      <c r="AA115" s="5">
        <f t="shared" si="42"/>
        <v>-3.2199999999999999E-2</v>
      </c>
      <c r="AB115" s="3">
        <v>-3.6029967272461902E-3</v>
      </c>
      <c r="AC115" s="4">
        <f>ROUND(Q115*(1-(Exhaust!$B$2+AB115)),2)</f>
        <v>2.4500000000000002</v>
      </c>
      <c r="AD115" s="5">
        <f>ROUND(R115*(1-(Exhaust!$B$3+$AB115)),2)</f>
        <v>10.119999999999999</v>
      </c>
      <c r="AE115" s="3">
        <f>ROUND(S115*(1-(Exhaust!$B$4+$AB115)),2)</f>
        <v>0.87</v>
      </c>
      <c r="AF115" s="4">
        <f>ROUND($AC115*(SUMIFS(PrefFlows!$C:$C,PrefFlows!$A:$A,$Q$1,PrefFlows!$B:$B,$B115)+$AA115)+$AD115*(SUMIFS(PrefFlows!$C:$C,PrefFlows!$A:$A,$R$1,PrefFlows!$B:$B,$B115)+$AA115)+$AE115*(SUMIFS(PrefFlows!$C:$C,PrefFlows!$A:$A,$S$1,PrefFlows!$B:$B,$B115)+$AA115),2)</f>
        <v>3.73</v>
      </c>
      <c r="AG115" s="3">
        <f>ROUND($AC115*(1-(SUMIFS(PrefFlows!$C:$C,PrefFlows!$A:$A,$Q$1,PrefFlows!$B:$B,$B115)+$AA115))+$AD115*(1-(SUMIFS(PrefFlows!$C:$C,PrefFlows!$A:$A,$R$1,PrefFlows!$B:$B,$B115)+$AA115))+$AE115*(1-(SUMIFS(PrefFlows!$C:$C,PrefFlows!$A:$A,$S$1,PrefFlows!$B:$B,$B115)+$AA115)),2)</f>
        <v>9.7100000000000009</v>
      </c>
      <c r="AH115" s="4">
        <f t="shared" si="43"/>
        <v>44.56</v>
      </c>
      <c r="AI115" s="3">
        <f t="shared" si="44"/>
        <v>44.86</v>
      </c>
      <c r="AJ115" s="4">
        <f t="shared" si="45"/>
        <v>49.83</v>
      </c>
      <c r="AK115" s="3">
        <f t="shared" si="45"/>
        <v>50.17</v>
      </c>
      <c r="AL115" s="1">
        <f t="shared" si="50"/>
        <v>-1.9</v>
      </c>
      <c r="AM115" s="1">
        <f t="shared" si="51"/>
        <v>0.42</v>
      </c>
      <c r="AN115" s="3">
        <f t="shared" si="52"/>
        <v>-0.17</v>
      </c>
      <c r="AO115" s="1" t="b">
        <f t="shared" si="46"/>
        <v>1</v>
      </c>
      <c r="AP115" s="1" t="b">
        <f t="shared" si="46"/>
        <v>0</v>
      </c>
      <c r="AQ115" s="3" t="b">
        <f t="shared" si="47"/>
        <v>1</v>
      </c>
      <c r="AR115" s="1">
        <f t="shared" si="48"/>
        <v>2.3199999999999998</v>
      </c>
      <c r="AS115" s="1">
        <f t="shared" si="48"/>
        <v>1.73</v>
      </c>
      <c r="AT115" s="3">
        <f t="shared" si="49"/>
        <v>0.59</v>
      </c>
      <c r="AU115" s="1">
        <f>ROUND(IF($B115="NSW",L115*Meta!$B$6,L115),1)</f>
        <v>2799</v>
      </c>
      <c r="AV115" s="3">
        <f t="shared" si="53"/>
        <v>91267.5</v>
      </c>
    </row>
    <row r="116" spans="1:48" x14ac:dyDescent="0.55000000000000004">
      <c r="A116" s="2" t="s">
        <v>118</v>
      </c>
      <c r="B116" s="3" t="s">
        <v>12</v>
      </c>
      <c r="C116" s="4">
        <v>12.75</v>
      </c>
      <c r="D116" s="5">
        <v>0</v>
      </c>
      <c r="E116" s="5">
        <v>54.82</v>
      </c>
      <c r="F116" s="5">
        <v>4.58</v>
      </c>
      <c r="G116" s="5">
        <v>4.43</v>
      </c>
      <c r="H116" s="5">
        <v>23.42</v>
      </c>
      <c r="I116" s="4">
        <v>67.63</v>
      </c>
      <c r="J116" s="3">
        <v>32.369999999999997</v>
      </c>
      <c r="K116" s="4">
        <v>104440</v>
      </c>
      <c r="L116" s="5">
        <v>7120</v>
      </c>
      <c r="M116" s="3">
        <f t="shared" si="32"/>
        <v>97320</v>
      </c>
      <c r="N116" s="5">
        <f t="shared" si="33"/>
        <v>6.8173113749521258E-2</v>
      </c>
      <c r="O116" s="4">
        <f>ROUND($C116+MIN($D116:$E116)*(1-SUMIFS(PrefFlows!$C:$C,PrefFlows!$A:$A,INDEX($D$1:$E$1,MATCH(MIN($D116:$E116),$D116:$E116,0)),PrefFlows!$B:$B,$B116)),2)</f>
        <v>12.75</v>
      </c>
      <c r="P116" s="5">
        <f>ROUND(MAX($D116:$E116)+MIN($D116:$E116)*SUMIFS(PrefFlows!$C:$C,PrefFlows!$A:$A,INDEX($D$1:$E$1,MATCH(MIN($D116:$E116),$D116:$E116,0)),PrefFlows!$B:$B,$B116),2)</f>
        <v>54.82</v>
      </c>
      <c r="Q116" s="5">
        <f t="shared" si="54"/>
        <v>4.58</v>
      </c>
      <c r="R116" s="5">
        <f t="shared" si="55"/>
        <v>4.43</v>
      </c>
      <c r="S116" s="3">
        <f t="shared" si="36"/>
        <v>23.42</v>
      </c>
      <c r="T116" s="6">
        <f t="shared" si="37"/>
        <v>42.07</v>
      </c>
      <c r="U116" s="4">
        <f>ROUND($Q116*SUMIFS(PrefFlows!$C:$C,PrefFlows!$A:$A,$Q$1,PrefFlows!$B:$B,$B116)+$R116*SUMIFS(PrefFlows!$C:$C,PrefFlows!$A:$A,$R$1,PrefFlows!$B:$B,$B116)+$S116*SUMIFS(PrefFlows!$C:$C,PrefFlows!$A:$A,$S$1,PrefFlows!$B:$B,$B116),2)</f>
        <v>15.96</v>
      </c>
      <c r="V116" s="3">
        <f>ROUND($Q116*(1-SUMIFS(PrefFlows!$C:$C,PrefFlows!$A:$A,$Q$1,PrefFlows!$B:$B,$B116))+$R116*(1-SUMIFS(PrefFlows!$C:$C,PrefFlows!$A:$A,$R$1,PrefFlows!$B:$B,$B116))+$S116*(1-SUMIFS(PrefFlows!$C:$C,PrefFlows!$A:$A,$S$1,PrefFlows!$B:$B,$B116)),2)</f>
        <v>16.47</v>
      </c>
      <c r="W116" s="4">
        <f t="shared" si="38"/>
        <v>12.81</v>
      </c>
      <c r="X116" s="3">
        <f t="shared" si="39"/>
        <v>19.62</v>
      </c>
      <c r="Y116" s="4">
        <f t="shared" si="40"/>
        <v>0.49209999999999998</v>
      </c>
      <c r="Z116" s="5">
        <f t="shared" si="41"/>
        <v>0.39500000000000002</v>
      </c>
      <c r="AA116" s="5">
        <f t="shared" si="42"/>
        <v>-9.7100000000000006E-2</v>
      </c>
      <c r="AB116" s="3">
        <v>2.1813325726504601E-2</v>
      </c>
      <c r="AC116" s="4">
        <f>ROUND(Q116*(1-(Exhaust!$B$2+AB116)),2)</f>
        <v>1.92</v>
      </c>
      <c r="AD116" s="5">
        <f>ROUND(R116*(1-(Exhaust!$B$3+$AB116)),2)</f>
        <v>2.56</v>
      </c>
      <c r="AE116" s="3">
        <f>ROUND(S116*(1-(Exhaust!$B$4+$AB116)),2)</f>
        <v>11.2</v>
      </c>
      <c r="AF116" s="4">
        <f>ROUND($AC116*(SUMIFS(PrefFlows!$C:$C,PrefFlows!$A:$A,$Q$1,PrefFlows!$B:$B,$B116)+$AA116)+$AD116*(SUMIFS(PrefFlows!$C:$C,PrefFlows!$A:$A,$R$1,PrefFlows!$B:$B,$B116)+$AA116)+$AE116*(SUMIFS(PrefFlows!$C:$C,PrefFlows!$A:$A,$S$1,PrefFlows!$B:$B,$B116)+$AA116),2)</f>
        <v>6.02</v>
      </c>
      <c r="AG116" s="3">
        <f>ROUND($AC116*(1-(SUMIFS(PrefFlows!$C:$C,PrefFlows!$A:$A,$Q$1,PrefFlows!$B:$B,$B116)+$AA116))+$AD116*(1-(SUMIFS(PrefFlows!$C:$C,PrefFlows!$A:$A,$R$1,PrefFlows!$B:$B,$B116)+$AA116))+$AE116*(1-(SUMIFS(PrefFlows!$C:$C,PrefFlows!$A:$A,$S$1,PrefFlows!$B:$B,$B116)+$AA116)),2)</f>
        <v>9.66</v>
      </c>
      <c r="AH116" s="4">
        <f t="shared" si="43"/>
        <v>60.84</v>
      </c>
      <c r="AI116" s="3">
        <f t="shared" si="44"/>
        <v>22.41</v>
      </c>
      <c r="AJ116" s="4">
        <f t="shared" si="45"/>
        <v>73.08</v>
      </c>
      <c r="AK116" s="3">
        <f t="shared" si="45"/>
        <v>26.92</v>
      </c>
      <c r="AL116" s="1">
        <f t="shared" si="50"/>
        <v>17.63</v>
      </c>
      <c r="AM116" s="1">
        <f t="shared" si="51"/>
        <v>22.82</v>
      </c>
      <c r="AN116" s="3">
        <f t="shared" si="52"/>
        <v>23.08</v>
      </c>
      <c r="AO116" s="1" t="b">
        <f t="shared" si="46"/>
        <v>0</v>
      </c>
      <c r="AP116" s="1" t="b">
        <f t="shared" si="46"/>
        <v>0</v>
      </c>
      <c r="AQ116" s="3" t="b">
        <f t="shared" si="47"/>
        <v>0</v>
      </c>
      <c r="AR116" s="1">
        <f t="shared" si="48"/>
        <v>5.1900000000000013</v>
      </c>
      <c r="AS116" s="1">
        <f t="shared" si="48"/>
        <v>5.4499999999999993</v>
      </c>
      <c r="AT116" s="3">
        <f t="shared" si="49"/>
        <v>0.25999999999999801</v>
      </c>
      <c r="AU116" s="1">
        <f>ROUND(IF($B116="NSW",L116*Meta!$B$6,L116),1)</f>
        <v>4734.8</v>
      </c>
      <c r="AV116" s="3">
        <f t="shared" si="53"/>
        <v>100763.3</v>
      </c>
    </row>
    <row r="117" spans="1:48" x14ac:dyDescent="0.55000000000000004">
      <c r="A117" s="2" t="s">
        <v>119</v>
      </c>
      <c r="B117" s="3" t="s">
        <v>12</v>
      </c>
      <c r="C117" s="4">
        <v>45.73</v>
      </c>
      <c r="D117" s="5">
        <v>29.21</v>
      </c>
      <c r="E117" s="5">
        <v>0</v>
      </c>
      <c r="F117" s="5">
        <v>3.37</v>
      </c>
      <c r="G117" s="5">
        <v>15.56</v>
      </c>
      <c r="H117" s="5">
        <v>6.13</v>
      </c>
      <c r="I117" s="4">
        <v>36.17</v>
      </c>
      <c r="J117" s="3">
        <v>63.83</v>
      </c>
      <c r="K117" s="4">
        <v>109081</v>
      </c>
      <c r="L117" s="5">
        <v>6014</v>
      </c>
      <c r="M117" s="3">
        <f t="shared" si="32"/>
        <v>103067</v>
      </c>
      <c r="N117" s="5">
        <f t="shared" si="33"/>
        <v>5.5133341278499462E-2</v>
      </c>
      <c r="O117" s="4">
        <f>ROUND($C117+MIN($D117:$E117)*(1-SUMIFS(PrefFlows!$C:$C,PrefFlows!$A:$A,INDEX($D$1:$E$1,MATCH(MIN($D117:$E117),$D117:$E117,0)),PrefFlows!$B:$B,$B117)),2)</f>
        <v>45.73</v>
      </c>
      <c r="P117" s="5">
        <f>ROUND(MAX($D117:$E117)+MIN($D117:$E117)*SUMIFS(PrefFlows!$C:$C,PrefFlows!$A:$A,INDEX($D$1:$E$1,MATCH(MIN($D117:$E117),$D117:$E117,0)),PrefFlows!$B:$B,$B117),2)</f>
        <v>29.21</v>
      </c>
      <c r="Q117" s="5">
        <f t="shared" si="54"/>
        <v>3.37</v>
      </c>
      <c r="R117" s="5">
        <f t="shared" si="55"/>
        <v>15.56</v>
      </c>
      <c r="S117" s="3">
        <f t="shared" si="36"/>
        <v>6.13</v>
      </c>
      <c r="T117" s="6">
        <f t="shared" si="37"/>
        <v>-16.52</v>
      </c>
      <c r="U117" s="4">
        <f>ROUND($Q117*SUMIFS(PrefFlows!$C:$C,PrefFlows!$A:$A,$Q$1,PrefFlows!$B:$B,$B117)+$R117*SUMIFS(PrefFlows!$C:$C,PrefFlows!$A:$A,$R$1,PrefFlows!$B:$B,$B117)+$S117*SUMIFS(PrefFlows!$C:$C,PrefFlows!$A:$A,$S$1,PrefFlows!$B:$B,$B117),2)</f>
        <v>8.14</v>
      </c>
      <c r="V117" s="3">
        <f>ROUND($Q117*(1-SUMIFS(PrefFlows!$C:$C,PrefFlows!$A:$A,$Q$1,PrefFlows!$B:$B,$B117))+$R117*(1-SUMIFS(PrefFlows!$C:$C,PrefFlows!$A:$A,$R$1,PrefFlows!$B:$B,$B117))+$S117*(1-SUMIFS(PrefFlows!$C:$C,PrefFlows!$A:$A,$S$1,PrefFlows!$B:$B,$B117)),2)</f>
        <v>16.920000000000002</v>
      </c>
      <c r="W117" s="4">
        <f t="shared" si="38"/>
        <v>6.96</v>
      </c>
      <c r="X117" s="3">
        <f t="shared" si="39"/>
        <v>18.100000000000001</v>
      </c>
      <c r="Y117" s="4">
        <f t="shared" si="40"/>
        <v>0.32479999999999998</v>
      </c>
      <c r="Z117" s="5">
        <f t="shared" si="41"/>
        <v>0.2777</v>
      </c>
      <c r="AA117" s="5">
        <f t="shared" si="42"/>
        <v>-4.7100000000000003E-2</v>
      </c>
      <c r="AB117" s="3">
        <v>-4.9492274676874604E-3</v>
      </c>
      <c r="AC117" s="4">
        <f>ROUND(Q117*(1-(Exhaust!$B$2+AB117)),2)</f>
        <v>1.5</v>
      </c>
      <c r="AD117" s="5">
        <f>ROUND(R117*(1-(Exhaust!$B$3+$AB117)),2)</f>
        <v>9.41</v>
      </c>
      <c r="AE117" s="3">
        <f>ROUND(S117*(1-(Exhaust!$B$4+$AB117)),2)</f>
        <v>3.1</v>
      </c>
      <c r="AF117" s="4">
        <f>ROUND($AC117*(SUMIFS(PrefFlows!$C:$C,PrefFlows!$A:$A,$Q$1,PrefFlows!$B:$B,$B117)+$AA117)+$AD117*(SUMIFS(PrefFlows!$C:$C,PrefFlows!$A:$A,$R$1,PrefFlows!$B:$B,$B117)+$AA117)+$AE117*(SUMIFS(PrefFlows!$C:$C,PrefFlows!$A:$A,$S$1,PrefFlows!$B:$B,$B117)+$AA117),2)</f>
        <v>3.6</v>
      </c>
      <c r="AG117" s="3">
        <f>ROUND($AC117*(1-(SUMIFS(PrefFlows!$C:$C,PrefFlows!$A:$A,$Q$1,PrefFlows!$B:$B,$B117)+$AA117))+$AD117*(1-(SUMIFS(PrefFlows!$C:$C,PrefFlows!$A:$A,$R$1,PrefFlows!$B:$B,$B117)+$AA117))+$AE117*(1-(SUMIFS(PrefFlows!$C:$C,PrefFlows!$A:$A,$S$1,PrefFlows!$B:$B,$B117)+$AA117)),2)</f>
        <v>10.41</v>
      </c>
      <c r="AH117" s="4">
        <f t="shared" si="43"/>
        <v>32.81</v>
      </c>
      <c r="AI117" s="3">
        <f t="shared" si="44"/>
        <v>56.14</v>
      </c>
      <c r="AJ117" s="4">
        <f t="shared" si="45"/>
        <v>36.89</v>
      </c>
      <c r="AK117" s="3">
        <f t="shared" si="45"/>
        <v>63.11</v>
      </c>
      <c r="AL117" s="1">
        <f t="shared" si="50"/>
        <v>-13.83</v>
      </c>
      <c r="AM117" s="1">
        <f t="shared" si="51"/>
        <v>-12.68</v>
      </c>
      <c r="AN117" s="3">
        <f t="shared" si="52"/>
        <v>-13.11</v>
      </c>
      <c r="AO117" s="1" t="b">
        <f t="shared" si="46"/>
        <v>0</v>
      </c>
      <c r="AP117" s="1" t="b">
        <f t="shared" si="46"/>
        <v>0</v>
      </c>
      <c r="AQ117" s="3" t="b">
        <f t="shared" si="47"/>
        <v>0</v>
      </c>
      <c r="AR117" s="1">
        <f t="shared" si="48"/>
        <v>1.1500000000000004</v>
      </c>
      <c r="AS117" s="1">
        <f t="shared" si="48"/>
        <v>0.72000000000000064</v>
      </c>
      <c r="AT117" s="3">
        <f t="shared" si="49"/>
        <v>0.42999999999999972</v>
      </c>
      <c r="AU117" s="1">
        <f>ROUND(IF($B117="NSW",L117*Meta!$B$6,L117),1)</f>
        <v>3999.3</v>
      </c>
      <c r="AV117" s="3">
        <f t="shared" si="53"/>
        <v>105975.4</v>
      </c>
    </row>
    <row r="118" spans="1:48" x14ac:dyDescent="0.55000000000000004">
      <c r="A118" s="2" t="s">
        <v>208</v>
      </c>
      <c r="B118" s="3" t="s">
        <v>9</v>
      </c>
      <c r="C118" s="4">
        <v>19.41</v>
      </c>
      <c r="D118" s="5">
        <v>0</v>
      </c>
      <c r="E118" s="5">
        <v>51.27</v>
      </c>
      <c r="F118" s="5">
        <v>16.61</v>
      </c>
      <c r="G118" s="5">
        <v>4.21</v>
      </c>
      <c r="H118" s="5">
        <v>8.5</v>
      </c>
      <c r="I118" s="4">
        <v>70.03</v>
      </c>
      <c r="J118" s="3">
        <v>29.97</v>
      </c>
      <c r="K118" s="4">
        <v>102971</v>
      </c>
      <c r="L118" s="5">
        <v>7679</v>
      </c>
      <c r="M118" s="3">
        <f t="shared" si="32"/>
        <v>95292</v>
      </c>
      <c r="N118" s="5">
        <f t="shared" si="33"/>
        <v>7.4574394732497495E-2</v>
      </c>
      <c r="O118" s="4">
        <f>ROUND($C118+MIN($D118:$E118)*(1-SUMIFS(PrefFlows!$C:$C,PrefFlows!$A:$A,INDEX($D$1:$E$1,MATCH(MIN($D118:$E118),$D118:$E118,0)),PrefFlows!$B:$B,$B118)),2)</f>
        <v>19.41</v>
      </c>
      <c r="P118" s="5">
        <f>ROUND(MAX($D118:$E118)+MIN($D118:$E118)*SUMIFS(PrefFlows!$C:$C,PrefFlows!$A:$A,INDEX($D$1:$E$1,MATCH(MIN($D118:$E118),$D118:$E118,0)),PrefFlows!$B:$B,$B118),2)</f>
        <v>51.27</v>
      </c>
      <c r="Q118" s="5">
        <f t="shared" si="54"/>
        <v>16.61</v>
      </c>
      <c r="R118" s="5">
        <f t="shared" si="55"/>
        <v>4.21</v>
      </c>
      <c r="S118" s="3">
        <f t="shared" si="36"/>
        <v>8.5</v>
      </c>
      <c r="T118" s="6">
        <f t="shared" si="37"/>
        <v>31.86</v>
      </c>
      <c r="U118" s="4">
        <f>ROUND($Q118*SUMIFS(PrefFlows!$C:$C,PrefFlows!$A:$A,$Q$1,PrefFlows!$B:$B,$B118)+$R118*SUMIFS(PrefFlows!$C:$C,PrefFlows!$A:$A,$R$1,PrefFlows!$B:$B,$B118)+$S118*SUMIFS(PrefFlows!$C:$C,PrefFlows!$A:$A,$S$1,PrefFlows!$B:$B,$B118),2)</f>
        <v>15.88</v>
      </c>
      <c r="V118" s="3">
        <f>ROUND($Q118*(1-SUMIFS(PrefFlows!$C:$C,PrefFlows!$A:$A,$Q$1,PrefFlows!$B:$B,$B118))+$R118*(1-SUMIFS(PrefFlows!$C:$C,PrefFlows!$A:$A,$R$1,PrefFlows!$B:$B,$B118))+$S118*(1-SUMIFS(PrefFlows!$C:$C,PrefFlows!$A:$A,$S$1,PrefFlows!$B:$B,$B118)),2)</f>
        <v>13.44</v>
      </c>
      <c r="W118" s="4">
        <f t="shared" si="38"/>
        <v>18.760000000000002</v>
      </c>
      <c r="X118" s="3">
        <f t="shared" si="39"/>
        <v>10.56</v>
      </c>
      <c r="Y118" s="4">
        <f t="shared" si="40"/>
        <v>0.54159999999999997</v>
      </c>
      <c r="Z118" s="5">
        <f t="shared" si="41"/>
        <v>0.63980000000000004</v>
      </c>
      <c r="AA118" s="5">
        <f t="shared" si="42"/>
        <v>9.8199999999999996E-2</v>
      </c>
      <c r="AB118" s="3">
        <v>2.8225023638388701E-2</v>
      </c>
      <c r="AC118" s="4">
        <f>ROUND(Q118*(1-(Exhaust!$B$2+AB118)),2)</f>
        <v>6.84</v>
      </c>
      <c r="AD118" s="5">
        <f>ROUND(R118*(1-(Exhaust!$B$3+$AB118)),2)</f>
        <v>2.41</v>
      </c>
      <c r="AE118" s="3">
        <f>ROUND(S118*(1-(Exhaust!$B$4+$AB118)),2)</f>
        <v>4.01</v>
      </c>
      <c r="AF118" s="4">
        <f>ROUND($AC118*(SUMIFS(PrefFlows!$C:$C,PrefFlows!$A:$A,$Q$1,PrefFlows!$B:$B,$B118)+$AA118)+$AD118*(SUMIFS(PrefFlows!$C:$C,PrefFlows!$A:$A,$R$1,PrefFlows!$B:$B,$B118)+$AA118)+$AE118*(SUMIFS(PrefFlows!$C:$C,PrefFlows!$A:$A,$S$1,PrefFlows!$B:$B,$B118)+$AA118),2)</f>
        <v>8.23</v>
      </c>
      <c r="AG118" s="3">
        <f>ROUND($AC118*(1-(SUMIFS(PrefFlows!$C:$C,PrefFlows!$A:$A,$Q$1,PrefFlows!$B:$B,$B118)+$AA118))+$AD118*(1-(SUMIFS(PrefFlows!$C:$C,PrefFlows!$A:$A,$R$1,PrefFlows!$B:$B,$B118)+$AA118))+$AE118*(1-(SUMIFS(PrefFlows!$C:$C,PrefFlows!$A:$A,$S$1,PrefFlows!$B:$B,$B118)+$AA118)),2)</f>
        <v>5.03</v>
      </c>
      <c r="AH118" s="4">
        <f t="shared" si="43"/>
        <v>59.5</v>
      </c>
      <c r="AI118" s="3">
        <f t="shared" si="44"/>
        <v>24.44</v>
      </c>
      <c r="AJ118" s="4">
        <f t="shared" si="45"/>
        <v>70.88</v>
      </c>
      <c r="AK118" s="3">
        <f t="shared" si="45"/>
        <v>29.12</v>
      </c>
      <c r="AL118" s="1">
        <f t="shared" si="50"/>
        <v>20.03</v>
      </c>
      <c r="AM118" s="1">
        <f t="shared" si="51"/>
        <v>21.02</v>
      </c>
      <c r="AN118" s="3">
        <f t="shared" si="52"/>
        <v>20.88</v>
      </c>
      <c r="AO118" s="1" t="b">
        <f t="shared" si="46"/>
        <v>0</v>
      </c>
      <c r="AP118" s="1" t="b">
        <f t="shared" si="46"/>
        <v>0</v>
      </c>
      <c r="AQ118" s="3" t="b">
        <f t="shared" si="47"/>
        <v>0</v>
      </c>
      <c r="AR118" s="1">
        <f t="shared" si="48"/>
        <v>0.98999999999999844</v>
      </c>
      <c r="AS118" s="1">
        <f t="shared" si="48"/>
        <v>0.84999999999999787</v>
      </c>
      <c r="AT118" s="3">
        <f t="shared" si="49"/>
        <v>0.14000000000000057</v>
      </c>
      <c r="AU118" s="1">
        <f>ROUND(IF($B118="NSW",L118*Meta!$B$6,L118),1)</f>
        <v>7679</v>
      </c>
      <c r="AV118" s="3">
        <f t="shared" si="53"/>
        <v>97008</v>
      </c>
    </row>
    <row r="119" spans="1:48" x14ac:dyDescent="0.55000000000000004">
      <c r="A119" s="2" t="s">
        <v>120</v>
      </c>
      <c r="B119" s="3" t="s">
        <v>12</v>
      </c>
      <c r="C119" s="4">
        <v>25.08</v>
      </c>
      <c r="D119" s="5">
        <v>51.96</v>
      </c>
      <c r="E119" s="5">
        <v>0</v>
      </c>
      <c r="F119" s="5">
        <v>1.29</v>
      </c>
      <c r="G119" s="5">
        <v>13.62</v>
      </c>
      <c r="H119" s="5">
        <v>8.0399999999999991</v>
      </c>
      <c r="I119" s="4">
        <v>59.27</v>
      </c>
      <c r="J119" s="3">
        <v>40.729999999999997</v>
      </c>
      <c r="K119" s="4">
        <v>100913</v>
      </c>
      <c r="L119" s="5">
        <v>4077</v>
      </c>
      <c r="M119" s="3">
        <f t="shared" si="32"/>
        <v>96836</v>
      </c>
      <c r="N119" s="5">
        <f t="shared" si="33"/>
        <v>4.0401137613587941E-2</v>
      </c>
      <c r="O119" s="4">
        <f>ROUND($C119+MIN($D119:$E119)*(1-SUMIFS(PrefFlows!$C:$C,PrefFlows!$A:$A,INDEX($D$1:$E$1,MATCH(MIN($D119:$E119),$D119:$E119,0)),PrefFlows!$B:$B,$B119)),2)</f>
        <v>25.08</v>
      </c>
      <c r="P119" s="5">
        <f>ROUND(MAX($D119:$E119)+MIN($D119:$E119)*SUMIFS(PrefFlows!$C:$C,PrefFlows!$A:$A,INDEX($D$1:$E$1,MATCH(MIN($D119:$E119),$D119:$E119,0)),PrefFlows!$B:$B,$B119),2)</f>
        <v>51.96</v>
      </c>
      <c r="Q119" s="5">
        <f t="shared" si="54"/>
        <v>1.29</v>
      </c>
      <c r="R119" s="5">
        <f t="shared" si="55"/>
        <v>13.62</v>
      </c>
      <c r="S119" s="3">
        <f t="shared" si="36"/>
        <v>8.0399999999999991</v>
      </c>
      <c r="T119" s="6">
        <f t="shared" si="37"/>
        <v>26.88</v>
      </c>
      <c r="U119" s="4">
        <f>ROUND($Q119*SUMIFS(PrefFlows!$C:$C,PrefFlows!$A:$A,$Q$1,PrefFlows!$B:$B,$B119)+$R119*SUMIFS(PrefFlows!$C:$C,PrefFlows!$A:$A,$R$1,PrefFlows!$B:$B,$B119)+$S119*SUMIFS(PrefFlows!$C:$C,PrefFlows!$A:$A,$S$1,PrefFlows!$B:$B,$B119),2)</f>
        <v>7.46</v>
      </c>
      <c r="V119" s="3">
        <f>ROUND($Q119*(1-SUMIFS(PrefFlows!$C:$C,PrefFlows!$A:$A,$Q$1,PrefFlows!$B:$B,$B119))+$R119*(1-SUMIFS(PrefFlows!$C:$C,PrefFlows!$A:$A,$R$1,PrefFlows!$B:$B,$B119))+$S119*(1-SUMIFS(PrefFlows!$C:$C,PrefFlows!$A:$A,$S$1,PrefFlows!$B:$B,$B119)),2)</f>
        <v>15.49</v>
      </c>
      <c r="W119" s="4">
        <f t="shared" si="38"/>
        <v>7.31</v>
      </c>
      <c r="X119" s="3">
        <f t="shared" si="39"/>
        <v>15.65</v>
      </c>
      <c r="Y119" s="4">
        <f t="shared" si="40"/>
        <v>0.3251</v>
      </c>
      <c r="Z119" s="5">
        <f t="shared" si="41"/>
        <v>0.31840000000000002</v>
      </c>
      <c r="AA119" s="5">
        <f t="shared" si="42"/>
        <v>-6.7000000000000002E-3</v>
      </c>
      <c r="AB119" s="3">
        <v>-3.7026795592895199E-2</v>
      </c>
      <c r="AC119" s="4">
        <f>ROUND(Q119*(1-(Exhaust!$B$2+AB119)),2)</f>
        <v>0.62</v>
      </c>
      <c r="AD119" s="5">
        <f>ROUND(R119*(1-(Exhaust!$B$3+$AB119)),2)</f>
        <v>8.68</v>
      </c>
      <c r="AE119" s="3">
        <f>ROUND(S119*(1-(Exhaust!$B$4+$AB119)),2)</f>
        <v>4.32</v>
      </c>
      <c r="AF119" s="4">
        <f>ROUND($AC119*(SUMIFS(PrefFlows!$C:$C,PrefFlows!$A:$A,$Q$1,PrefFlows!$B:$B,$B119)+$AA119)+$AD119*(SUMIFS(PrefFlows!$C:$C,PrefFlows!$A:$A,$R$1,PrefFlows!$B:$B,$B119)+$AA119)+$AE119*(SUMIFS(PrefFlows!$C:$C,PrefFlows!$A:$A,$S$1,PrefFlows!$B:$B,$B119)+$AA119),2)</f>
        <v>4.1100000000000003</v>
      </c>
      <c r="AG119" s="3">
        <f>ROUND($AC119*(1-(SUMIFS(PrefFlows!$C:$C,PrefFlows!$A:$A,$Q$1,PrefFlows!$B:$B,$B119)+$AA119))+$AD119*(1-(SUMIFS(PrefFlows!$C:$C,PrefFlows!$A:$A,$R$1,PrefFlows!$B:$B,$B119)+$AA119))+$AE119*(1-(SUMIFS(PrefFlows!$C:$C,PrefFlows!$A:$A,$S$1,PrefFlows!$B:$B,$B119)+$AA119)),2)</f>
        <v>9.51</v>
      </c>
      <c r="AH119" s="4">
        <f t="shared" si="43"/>
        <v>56.07</v>
      </c>
      <c r="AI119" s="3">
        <f t="shared" si="44"/>
        <v>34.590000000000003</v>
      </c>
      <c r="AJ119" s="4">
        <f t="shared" si="45"/>
        <v>61.85</v>
      </c>
      <c r="AK119" s="3">
        <f t="shared" si="45"/>
        <v>38.15</v>
      </c>
      <c r="AL119" s="1">
        <f t="shared" si="50"/>
        <v>9.27</v>
      </c>
      <c r="AM119" s="1">
        <f t="shared" si="51"/>
        <v>12.67</v>
      </c>
      <c r="AN119" s="3">
        <f t="shared" si="52"/>
        <v>11.85</v>
      </c>
      <c r="AO119" s="1" t="b">
        <f t="shared" si="46"/>
        <v>0</v>
      </c>
      <c r="AP119" s="1" t="b">
        <f t="shared" si="46"/>
        <v>0</v>
      </c>
      <c r="AQ119" s="3" t="b">
        <f t="shared" si="47"/>
        <v>0</v>
      </c>
      <c r="AR119" s="1">
        <f t="shared" si="48"/>
        <v>3.4000000000000004</v>
      </c>
      <c r="AS119" s="1">
        <f t="shared" si="48"/>
        <v>2.58</v>
      </c>
      <c r="AT119" s="3">
        <f t="shared" si="49"/>
        <v>0.82000000000000028</v>
      </c>
      <c r="AU119" s="1">
        <f>ROUND(IF($B119="NSW",L119*Meta!$B$6,L119),1)</f>
        <v>2711.2</v>
      </c>
      <c r="AV119" s="3">
        <f t="shared" si="53"/>
        <v>98807.7</v>
      </c>
    </row>
    <row r="120" spans="1:48" x14ac:dyDescent="0.55000000000000004">
      <c r="A120" s="2" t="s">
        <v>121</v>
      </c>
      <c r="B120" s="3" t="s">
        <v>29</v>
      </c>
      <c r="C120" s="4">
        <v>21.22</v>
      </c>
      <c r="D120" s="5">
        <v>42.04</v>
      </c>
      <c r="E120" s="5">
        <v>12.56</v>
      </c>
      <c r="F120" s="5">
        <v>10.3</v>
      </c>
      <c r="G120" s="5">
        <v>8.43</v>
      </c>
      <c r="H120" s="5">
        <v>5.46</v>
      </c>
      <c r="I120" s="4">
        <v>64.48</v>
      </c>
      <c r="J120" s="3">
        <v>35.520000000000003</v>
      </c>
      <c r="K120" s="4">
        <v>91742</v>
      </c>
      <c r="L120" s="5">
        <v>5785</v>
      </c>
      <c r="M120" s="3">
        <f t="shared" si="32"/>
        <v>85957</v>
      </c>
      <c r="N120" s="5">
        <f t="shared" si="33"/>
        <v>6.305726929868545E-2</v>
      </c>
      <c r="O120" s="4">
        <f>ROUND($C120+MIN($D120:$E120)*(1-SUMIFS(PrefFlows!$C:$C,PrefFlows!$A:$A,INDEX($D$1:$E$1,MATCH(MIN($D120:$E120),$D120:$E120,0)),PrefFlows!$B:$B,$B120)),2)</f>
        <v>23.39</v>
      </c>
      <c r="P120" s="5">
        <f>ROUND(MAX($D120:$E120)+MIN($D120:$E120)*SUMIFS(PrefFlows!$C:$C,PrefFlows!$A:$A,INDEX($D$1:$E$1,MATCH(MIN($D120:$E120),$D120:$E120,0)),PrefFlows!$B:$B,$B120),2)</f>
        <v>52.43</v>
      </c>
      <c r="Q120" s="5">
        <f t="shared" si="54"/>
        <v>10.3</v>
      </c>
      <c r="R120" s="5">
        <f t="shared" si="55"/>
        <v>8.43</v>
      </c>
      <c r="S120" s="3">
        <f t="shared" si="36"/>
        <v>5.46</v>
      </c>
      <c r="T120" s="6">
        <f t="shared" si="37"/>
        <v>29.04</v>
      </c>
      <c r="U120" s="4">
        <f>ROUND($Q120*SUMIFS(PrefFlows!$C:$C,PrefFlows!$A:$A,$Q$1,PrefFlows!$B:$B,$B120)+$R120*SUMIFS(PrefFlows!$C:$C,PrefFlows!$A:$A,$R$1,PrefFlows!$B:$B,$B120)+$S120*SUMIFS(PrefFlows!$C:$C,PrefFlows!$A:$A,$S$1,PrefFlows!$B:$B,$B120),2)</f>
        <v>11.12</v>
      </c>
      <c r="V120" s="3">
        <f>ROUND($Q120*(1-SUMIFS(PrefFlows!$C:$C,PrefFlows!$A:$A,$Q$1,PrefFlows!$B:$B,$B120))+$R120*(1-SUMIFS(PrefFlows!$C:$C,PrefFlows!$A:$A,$R$1,PrefFlows!$B:$B,$B120))+$S120*(1-SUMIFS(PrefFlows!$C:$C,PrefFlows!$A:$A,$S$1,PrefFlows!$B:$B,$B120)),2)</f>
        <v>13.07</v>
      </c>
      <c r="W120" s="4">
        <f t="shared" si="38"/>
        <v>12.05</v>
      </c>
      <c r="X120" s="3">
        <f t="shared" si="39"/>
        <v>12.13</v>
      </c>
      <c r="Y120" s="4">
        <f t="shared" si="40"/>
        <v>0.4597</v>
      </c>
      <c r="Z120" s="5">
        <f t="shared" si="41"/>
        <v>0.49830000000000002</v>
      </c>
      <c r="AA120" s="5">
        <f t="shared" si="42"/>
        <v>3.8600000000000002E-2</v>
      </c>
      <c r="AB120" s="3">
        <v>6.1433655496488999E-2</v>
      </c>
      <c r="AC120" s="4">
        <f>ROUND(Q120*(1-(Exhaust!$B$2+AB120)),2)</f>
        <v>3.9</v>
      </c>
      <c r="AD120" s="5">
        <f>ROUND(R120*(1-(Exhaust!$B$3+$AB120)),2)</f>
        <v>4.54</v>
      </c>
      <c r="AE120" s="3">
        <f>ROUND(S120*(1-(Exhaust!$B$4+$AB120)),2)</f>
        <v>2.39</v>
      </c>
      <c r="AF120" s="4">
        <f>ROUND($AC120*(SUMIFS(PrefFlows!$C:$C,PrefFlows!$A:$A,$Q$1,PrefFlows!$B:$B,$B120)+$AA120)+$AD120*(SUMIFS(PrefFlows!$C:$C,PrefFlows!$A:$A,$R$1,PrefFlows!$B:$B,$B120)+$AA120)+$AE120*(SUMIFS(PrefFlows!$C:$C,PrefFlows!$A:$A,$S$1,PrefFlows!$B:$B,$B120)+$AA120),2)</f>
        <v>5.07</v>
      </c>
      <c r="AG120" s="3">
        <f>ROUND($AC120*(1-(SUMIFS(PrefFlows!$C:$C,PrefFlows!$A:$A,$Q$1,PrefFlows!$B:$B,$B120)+$AA120))+$AD120*(1-(SUMIFS(PrefFlows!$C:$C,PrefFlows!$A:$A,$R$1,PrefFlows!$B:$B,$B120)+$AA120))+$AE120*(1-(SUMIFS(PrefFlows!$C:$C,PrefFlows!$A:$A,$S$1,PrefFlows!$B:$B,$B120)+$AA120)),2)</f>
        <v>5.76</v>
      </c>
      <c r="AH120" s="4">
        <f t="shared" si="43"/>
        <v>57.5</v>
      </c>
      <c r="AI120" s="3">
        <f t="shared" si="44"/>
        <v>29.15</v>
      </c>
      <c r="AJ120" s="4">
        <f t="shared" si="45"/>
        <v>66.36</v>
      </c>
      <c r="AK120" s="3">
        <f t="shared" si="45"/>
        <v>33.64</v>
      </c>
      <c r="AL120" s="1">
        <f t="shared" si="50"/>
        <v>14.48</v>
      </c>
      <c r="AM120" s="1">
        <f t="shared" si="51"/>
        <v>16.399999999999999</v>
      </c>
      <c r="AN120" s="3">
        <f t="shared" si="52"/>
        <v>16.36</v>
      </c>
      <c r="AO120" s="1" t="b">
        <f t="shared" si="46"/>
        <v>0</v>
      </c>
      <c r="AP120" s="1" t="b">
        <f t="shared" si="46"/>
        <v>0</v>
      </c>
      <c r="AQ120" s="3" t="b">
        <f t="shared" si="47"/>
        <v>0</v>
      </c>
      <c r="AR120" s="1">
        <f t="shared" si="48"/>
        <v>1.9199999999999982</v>
      </c>
      <c r="AS120" s="1">
        <f t="shared" si="48"/>
        <v>1.879999999999999</v>
      </c>
      <c r="AT120" s="3">
        <f t="shared" si="49"/>
        <v>3.9999999999999147E-2</v>
      </c>
      <c r="AU120" s="1">
        <f>ROUND(IF($B120="NSW",L120*Meta!$B$6,L120),1)</f>
        <v>5785</v>
      </c>
      <c r="AV120" s="3">
        <f t="shared" si="53"/>
        <v>87249.7</v>
      </c>
    </row>
    <row r="121" spans="1:48" x14ac:dyDescent="0.55000000000000004">
      <c r="A121" s="2" t="s">
        <v>122</v>
      </c>
      <c r="B121" s="3" t="s">
        <v>21</v>
      </c>
      <c r="C121" s="4">
        <v>42.53</v>
      </c>
      <c r="D121" s="5">
        <v>34.57</v>
      </c>
      <c r="E121" s="5">
        <v>0</v>
      </c>
      <c r="F121" s="5">
        <v>8.91</v>
      </c>
      <c r="G121" s="5">
        <v>11.64</v>
      </c>
      <c r="H121" s="5">
        <v>2.35</v>
      </c>
      <c r="I121" s="4">
        <v>43.61</v>
      </c>
      <c r="J121" s="3">
        <v>56.39</v>
      </c>
      <c r="K121" s="4">
        <v>95039</v>
      </c>
      <c r="L121" s="5">
        <v>4516</v>
      </c>
      <c r="M121" s="3">
        <f t="shared" si="32"/>
        <v>90523</v>
      </c>
      <c r="N121" s="5">
        <f t="shared" si="33"/>
        <v>4.7517334988794076E-2</v>
      </c>
      <c r="O121" s="4">
        <f>ROUND($C121+MIN($D121:$E121)*(1-SUMIFS(PrefFlows!$C:$C,PrefFlows!$A:$A,INDEX($D$1:$E$1,MATCH(MIN($D121:$E121),$D121:$E121,0)),PrefFlows!$B:$B,$B121)),2)</f>
        <v>42.53</v>
      </c>
      <c r="P121" s="5">
        <f>ROUND(MAX($D121:$E121)+MIN($D121:$E121)*SUMIFS(PrefFlows!$C:$C,PrefFlows!$A:$A,INDEX($D$1:$E$1,MATCH(MIN($D121:$E121),$D121:$E121,0)),PrefFlows!$B:$B,$B121),2)</f>
        <v>34.57</v>
      </c>
      <c r="Q121" s="5">
        <f t="shared" si="54"/>
        <v>8.91</v>
      </c>
      <c r="R121" s="5">
        <f t="shared" si="55"/>
        <v>11.64</v>
      </c>
      <c r="S121" s="3">
        <f t="shared" si="36"/>
        <v>2.35</v>
      </c>
      <c r="T121" s="6">
        <f t="shared" si="37"/>
        <v>-7.96</v>
      </c>
      <c r="U121" s="4">
        <f>ROUND($Q121*SUMIFS(PrefFlows!$C:$C,PrefFlows!$A:$A,$Q$1,PrefFlows!$B:$B,$B121)+$R121*SUMIFS(PrefFlows!$C:$C,PrefFlows!$A:$A,$R$1,PrefFlows!$B:$B,$B121)+$S121*SUMIFS(PrefFlows!$C:$C,PrefFlows!$A:$A,$S$1,PrefFlows!$B:$B,$B121),2)</f>
        <v>9.59</v>
      </c>
      <c r="V121" s="3">
        <f>ROUND($Q121*(1-SUMIFS(PrefFlows!$C:$C,PrefFlows!$A:$A,$Q$1,PrefFlows!$B:$B,$B121))+$R121*(1-SUMIFS(PrefFlows!$C:$C,PrefFlows!$A:$A,$R$1,PrefFlows!$B:$B,$B121))+$S121*(1-SUMIFS(PrefFlows!$C:$C,PrefFlows!$A:$A,$S$1,PrefFlows!$B:$B,$B121)),2)</f>
        <v>13.31</v>
      </c>
      <c r="W121" s="4">
        <f t="shared" si="38"/>
        <v>9.0399999999999991</v>
      </c>
      <c r="X121" s="3">
        <f t="shared" si="39"/>
        <v>13.86</v>
      </c>
      <c r="Y121" s="4">
        <f t="shared" si="40"/>
        <v>0.41880000000000001</v>
      </c>
      <c r="Z121" s="5">
        <f t="shared" si="41"/>
        <v>0.39479999999999998</v>
      </c>
      <c r="AA121" s="5">
        <f t="shared" si="42"/>
        <v>-2.4E-2</v>
      </c>
      <c r="AB121" s="3">
        <v>3.7455143281127597E-2</v>
      </c>
      <c r="AC121" s="4">
        <f>ROUND(Q121*(1-(Exhaust!$B$2+AB121)),2)</f>
        <v>3.59</v>
      </c>
      <c r="AD121" s="5">
        <f>ROUND(R121*(1-(Exhaust!$B$3+$AB121)),2)</f>
        <v>6.55</v>
      </c>
      <c r="AE121" s="3">
        <f>ROUND(S121*(1-(Exhaust!$B$4+$AB121)),2)</f>
        <v>1.0900000000000001</v>
      </c>
      <c r="AF121" s="4">
        <f>ROUND($AC121*(SUMIFS(PrefFlows!$C:$C,PrefFlows!$A:$A,$Q$1,PrefFlows!$B:$B,$B121)+$AA121)+$AD121*(SUMIFS(PrefFlows!$C:$C,PrefFlows!$A:$A,$R$1,PrefFlows!$B:$B,$B121)+$AA121)+$AE121*(SUMIFS(PrefFlows!$C:$C,PrefFlows!$A:$A,$S$1,PrefFlows!$B:$B,$B121)+$AA121),2)</f>
        <v>4.05</v>
      </c>
      <c r="AG121" s="3">
        <f>ROUND($AC121*(1-(SUMIFS(PrefFlows!$C:$C,PrefFlows!$A:$A,$Q$1,PrefFlows!$B:$B,$B121)+$AA121))+$AD121*(1-(SUMIFS(PrefFlows!$C:$C,PrefFlows!$A:$A,$R$1,PrefFlows!$B:$B,$B121)+$AA121))+$AE121*(1-(SUMIFS(PrefFlows!$C:$C,PrefFlows!$A:$A,$S$1,PrefFlows!$B:$B,$B121)+$AA121)),2)</f>
        <v>7.18</v>
      </c>
      <c r="AH121" s="4">
        <f t="shared" si="43"/>
        <v>38.619999999999997</v>
      </c>
      <c r="AI121" s="3">
        <f t="shared" si="44"/>
        <v>49.71</v>
      </c>
      <c r="AJ121" s="4">
        <f t="shared" si="45"/>
        <v>43.72</v>
      </c>
      <c r="AK121" s="3">
        <f t="shared" si="45"/>
        <v>56.28</v>
      </c>
      <c r="AL121" s="1">
        <f t="shared" si="50"/>
        <v>-6.39</v>
      </c>
      <c r="AM121" s="1">
        <f t="shared" si="51"/>
        <v>-5.88</v>
      </c>
      <c r="AN121" s="3">
        <f t="shared" si="52"/>
        <v>-6.28</v>
      </c>
      <c r="AO121" s="1" t="b">
        <f t="shared" si="46"/>
        <v>0</v>
      </c>
      <c r="AP121" s="1" t="b">
        <f t="shared" si="46"/>
        <v>0</v>
      </c>
      <c r="AQ121" s="3" t="b">
        <f t="shared" si="47"/>
        <v>0</v>
      </c>
      <c r="AR121" s="1">
        <f t="shared" si="48"/>
        <v>0.50999999999999979</v>
      </c>
      <c r="AS121" s="1">
        <f t="shared" si="48"/>
        <v>0.10999999999999943</v>
      </c>
      <c r="AT121" s="3">
        <f t="shared" si="49"/>
        <v>0.40000000000000036</v>
      </c>
      <c r="AU121" s="1">
        <f>ROUND(IF($B121="NSW",L121*Meta!$B$6,L121),1)</f>
        <v>4516</v>
      </c>
      <c r="AV121" s="3">
        <f t="shared" si="53"/>
        <v>91532.2</v>
      </c>
    </row>
    <row r="122" spans="1:48" x14ac:dyDescent="0.55000000000000004">
      <c r="A122" s="2" t="s">
        <v>123</v>
      </c>
      <c r="B122" s="3" t="s">
        <v>12</v>
      </c>
      <c r="C122" s="4">
        <v>26.36</v>
      </c>
      <c r="D122" s="5">
        <v>0</v>
      </c>
      <c r="E122" s="5">
        <v>49.63</v>
      </c>
      <c r="F122" s="5">
        <v>3.2</v>
      </c>
      <c r="G122" s="5">
        <v>11.68</v>
      </c>
      <c r="H122" s="5">
        <v>9.1300000000000008</v>
      </c>
      <c r="I122" s="4">
        <v>59.45</v>
      </c>
      <c r="J122" s="3">
        <v>40.549999999999997</v>
      </c>
      <c r="K122" s="4">
        <v>113548</v>
      </c>
      <c r="L122" s="5">
        <v>5397</v>
      </c>
      <c r="M122" s="3">
        <f t="shared" si="32"/>
        <v>108151</v>
      </c>
      <c r="N122" s="5">
        <f t="shared" si="33"/>
        <v>4.7530559763271918E-2</v>
      </c>
      <c r="O122" s="4">
        <f>ROUND($C122+MIN($D122:$E122)*(1-SUMIFS(PrefFlows!$C:$C,PrefFlows!$A:$A,INDEX($D$1:$E$1,MATCH(MIN($D122:$E122),$D122:$E122,0)),PrefFlows!$B:$B,$B122)),2)</f>
        <v>26.36</v>
      </c>
      <c r="P122" s="5">
        <f>ROUND(MAX($D122:$E122)+MIN($D122:$E122)*SUMIFS(PrefFlows!$C:$C,PrefFlows!$A:$A,INDEX($D$1:$E$1,MATCH(MIN($D122:$E122),$D122:$E122,0)),PrefFlows!$B:$B,$B122),2)</f>
        <v>49.63</v>
      </c>
      <c r="Q122" s="5">
        <f t="shared" si="54"/>
        <v>3.2</v>
      </c>
      <c r="R122" s="5">
        <f t="shared" si="55"/>
        <v>11.68</v>
      </c>
      <c r="S122" s="3">
        <f t="shared" si="36"/>
        <v>9.1300000000000008</v>
      </c>
      <c r="T122" s="6">
        <f t="shared" si="37"/>
        <v>23.27</v>
      </c>
      <c r="U122" s="4">
        <f>ROUND($Q122*SUMIFS(PrefFlows!$C:$C,PrefFlows!$A:$A,$Q$1,PrefFlows!$B:$B,$B122)+$R122*SUMIFS(PrefFlows!$C:$C,PrefFlows!$A:$A,$R$1,PrefFlows!$B:$B,$B122)+$S122*SUMIFS(PrefFlows!$C:$C,PrefFlows!$A:$A,$S$1,PrefFlows!$B:$B,$B122),2)</f>
        <v>8.91</v>
      </c>
      <c r="V122" s="3">
        <f>ROUND($Q122*(1-SUMIFS(PrefFlows!$C:$C,PrefFlows!$A:$A,$Q$1,PrefFlows!$B:$B,$B122))+$R122*(1-SUMIFS(PrefFlows!$C:$C,PrefFlows!$A:$A,$R$1,PrefFlows!$B:$B,$B122))+$S122*(1-SUMIFS(PrefFlows!$C:$C,PrefFlows!$A:$A,$S$1,PrefFlows!$B:$B,$B122)),2)</f>
        <v>15.1</v>
      </c>
      <c r="W122" s="4">
        <f t="shared" si="38"/>
        <v>9.82</v>
      </c>
      <c r="X122" s="3">
        <f t="shared" si="39"/>
        <v>14.19</v>
      </c>
      <c r="Y122" s="4">
        <f t="shared" si="40"/>
        <v>0.37109999999999999</v>
      </c>
      <c r="Z122" s="5">
        <f t="shared" si="41"/>
        <v>0.40899999999999997</v>
      </c>
      <c r="AA122" s="5">
        <f t="shared" si="42"/>
        <v>3.7900000000000003E-2</v>
      </c>
      <c r="AB122" s="3">
        <v>1.9281360182605602E-2</v>
      </c>
      <c r="AC122" s="4">
        <f>ROUND(Q122*(1-(Exhaust!$B$2+AB122)),2)</f>
        <v>1.35</v>
      </c>
      <c r="AD122" s="5">
        <f>ROUND(R122*(1-(Exhaust!$B$3+$AB122)),2)</f>
        <v>6.78</v>
      </c>
      <c r="AE122" s="3">
        <f>ROUND(S122*(1-(Exhaust!$B$4+$AB122)),2)</f>
        <v>4.3899999999999997</v>
      </c>
      <c r="AF122" s="4">
        <f>ROUND($AC122*(SUMIFS(PrefFlows!$C:$C,PrefFlows!$A:$A,$Q$1,PrefFlows!$B:$B,$B122)+$AA122)+$AD122*(SUMIFS(PrefFlows!$C:$C,PrefFlows!$A:$A,$R$1,PrefFlows!$B:$B,$B122)+$AA122)+$AE122*(SUMIFS(PrefFlows!$C:$C,PrefFlows!$A:$A,$S$1,PrefFlows!$B:$B,$B122)+$AA122),2)</f>
        <v>4.84</v>
      </c>
      <c r="AG122" s="3">
        <f>ROUND($AC122*(1-(SUMIFS(PrefFlows!$C:$C,PrefFlows!$A:$A,$Q$1,PrefFlows!$B:$B,$B122)+$AA122))+$AD122*(1-(SUMIFS(PrefFlows!$C:$C,PrefFlows!$A:$A,$R$1,PrefFlows!$B:$B,$B122)+$AA122))+$AE122*(1-(SUMIFS(PrefFlows!$C:$C,PrefFlows!$A:$A,$S$1,PrefFlows!$B:$B,$B122)+$AA122)),2)</f>
        <v>7.68</v>
      </c>
      <c r="AH122" s="4">
        <f t="shared" si="43"/>
        <v>54.47</v>
      </c>
      <c r="AI122" s="3">
        <f t="shared" si="44"/>
        <v>34.04</v>
      </c>
      <c r="AJ122" s="4">
        <f t="shared" si="45"/>
        <v>61.54</v>
      </c>
      <c r="AK122" s="3">
        <f t="shared" si="45"/>
        <v>38.46</v>
      </c>
      <c r="AL122" s="1">
        <f t="shared" si="50"/>
        <v>9.4499999999999993</v>
      </c>
      <c r="AM122" s="1">
        <f t="shared" si="51"/>
        <v>11.87</v>
      </c>
      <c r="AN122" s="3">
        <f t="shared" si="52"/>
        <v>11.54</v>
      </c>
      <c r="AO122" s="1" t="b">
        <f t="shared" si="46"/>
        <v>0</v>
      </c>
      <c r="AP122" s="1" t="b">
        <f t="shared" si="46"/>
        <v>0</v>
      </c>
      <c r="AQ122" s="3" t="b">
        <f t="shared" si="47"/>
        <v>0</v>
      </c>
      <c r="AR122" s="1">
        <f t="shared" si="48"/>
        <v>2.42</v>
      </c>
      <c r="AS122" s="1">
        <f t="shared" si="48"/>
        <v>2.09</v>
      </c>
      <c r="AT122" s="3">
        <f t="shared" si="49"/>
        <v>0.33000000000000007</v>
      </c>
      <c r="AU122" s="1">
        <f>ROUND(IF($B122="NSW",L122*Meta!$B$6,L122),1)</f>
        <v>3589</v>
      </c>
      <c r="AV122" s="3">
        <f t="shared" si="53"/>
        <v>110761</v>
      </c>
    </row>
    <row r="123" spans="1:48" x14ac:dyDescent="0.55000000000000004">
      <c r="A123" s="2" t="s">
        <v>124</v>
      </c>
      <c r="B123" s="3" t="s">
        <v>12</v>
      </c>
      <c r="C123" s="4">
        <v>23.56</v>
      </c>
      <c r="D123" s="5">
        <v>0</v>
      </c>
      <c r="E123" s="5">
        <v>50.76</v>
      </c>
      <c r="F123" s="5">
        <v>6.29</v>
      </c>
      <c r="G123" s="5">
        <v>4.17</v>
      </c>
      <c r="H123" s="5">
        <v>15.22</v>
      </c>
      <c r="I123" s="4">
        <v>66.91</v>
      </c>
      <c r="J123" s="3">
        <v>33.090000000000003</v>
      </c>
      <c r="K123" s="4">
        <v>99799</v>
      </c>
      <c r="L123" s="5">
        <v>5847</v>
      </c>
      <c r="M123" s="3">
        <f t="shared" si="32"/>
        <v>93952</v>
      </c>
      <c r="N123" s="5">
        <f t="shared" si="33"/>
        <v>5.8587761400414835E-2</v>
      </c>
      <c r="O123" s="4">
        <f>ROUND($C123+MIN($D123:$E123)*(1-SUMIFS(PrefFlows!$C:$C,PrefFlows!$A:$A,INDEX($D$1:$E$1,MATCH(MIN($D123:$E123),$D123:$E123,0)),PrefFlows!$B:$B,$B123)),2)</f>
        <v>23.56</v>
      </c>
      <c r="P123" s="5">
        <f>ROUND(MAX($D123:$E123)+MIN($D123:$E123)*SUMIFS(PrefFlows!$C:$C,PrefFlows!$A:$A,INDEX($D$1:$E$1,MATCH(MIN($D123:$E123),$D123:$E123,0)),PrefFlows!$B:$B,$B123),2)</f>
        <v>50.76</v>
      </c>
      <c r="Q123" s="5">
        <f t="shared" si="54"/>
        <v>6.29</v>
      </c>
      <c r="R123" s="5">
        <f t="shared" si="55"/>
        <v>4.17</v>
      </c>
      <c r="S123" s="3">
        <f t="shared" si="36"/>
        <v>15.22</v>
      </c>
      <c r="T123" s="6">
        <f t="shared" si="37"/>
        <v>27.2</v>
      </c>
      <c r="U123" s="4">
        <f>ROUND($Q123*SUMIFS(PrefFlows!$C:$C,PrefFlows!$A:$A,$Q$1,PrefFlows!$B:$B,$B123)+$R123*SUMIFS(PrefFlows!$C:$C,PrefFlows!$A:$A,$R$1,PrefFlows!$B:$B,$B123)+$S123*SUMIFS(PrefFlows!$C:$C,PrefFlows!$A:$A,$S$1,PrefFlows!$B:$B,$B123),2)</f>
        <v>12.73</v>
      </c>
      <c r="V123" s="3">
        <f>ROUND($Q123*(1-SUMIFS(PrefFlows!$C:$C,PrefFlows!$A:$A,$Q$1,PrefFlows!$B:$B,$B123))+$R123*(1-SUMIFS(PrefFlows!$C:$C,PrefFlows!$A:$A,$R$1,PrefFlows!$B:$B,$B123))+$S123*(1-SUMIFS(PrefFlows!$C:$C,PrefFlows!$A:$A,$S$1,PrefFlows!$B:$B,$B123)),2)</f>
        <v>12.95</v>
      </c>
      <c r="W123" s="4">
        <f t="shared" si="38"/>
        <v>16.149999999999999</v>
      </c>
      <c r="X123" s="3">
        <f t="shared" si="39"/>
        <v>9.5299999999999994</v>
      </c>
      <c r="Y123" s="4">
        <f t="shared" si="40"/>
        <v>0.49569999999999997</v>
      </c>
      <c r="Z123" s="5">
        <f t="shared" si="41"/>
        <v>0.62890000000000001</v>
      </c>
      <c r="AA123" s="5">
        <f t="shared" si="42"/>
        <v>0.13320000000000001</v>
      </c>
      <c r="AB123" s="3">
        <v>4.5299728008696298E-2</v>
      </c>
      <c r="AC123" s="4">
        <f>ROUND(Q123*(1-(Exhaust!$B$2+AB123)),2)</f>
        <v>2.48</v>
      </c>
      <c r="AD123" s="5">
        <f>ROUND(R123*(1-(Exhaust!$B$3+$AB123)),2)</f>
        <v>2.31</v>
      </c>
      <c r="AE123" s="3">
        <f>ROUND(S123*(1-(Exhaust!$B$4+$AB123)),2)</f>
        <v>6.92</v>
      </c>
      <c r="AF123" s="4">
        <f>ROUND($AC123*(SUMIFS(PrefFlows!$C:$C,PrefFlows!$A:$A,$Q$1,PrefFlows!$B:$B,$B123)+$AA123)+$AD123*(SUMIFS(PrefFlows!$C:$C,PrefFlows!$A:$A,$R$1,PrefFlows!$B:$B,$B123)+$AA123)+$AE123*(SUMIFS(PrefFlows!$C:$C,PrefFlows!$A:$A,$S$1,PrefFlows!$B:$B,$B123)+$AA123),2)</f>
        <v>7.18</v>
      </c>
      <c r="AG123" s="3">
        <f>ROUND($AC123*(1-(SUMIFS(PrefFlows!$C:$C,PrefFlows!$A:$A,$Q$1,PrefFlows!$B:$B,$B123)+$AA123))+$AD123*(1-(SUMIFS(PrefFlows!$C:$C,PrefFlows!$A:$A,$R$1,PrefFlows!$B:$B,$B123)+$AA123))+$AE123*(1-(SUMIFS(PrefFlows!$C:$C,PrefFlows!$A:$A,$S$1,PrefFlows!$B:$B,$B123)+$AA123)),2)</f>
        <v>4.53</v>
      </c>
      <c r="AH123" s="4">
        <f t="shared" si="43"/>
        <v>57.94</v>
      </c>
      <c r="AI123" s="3">
        <f t="shared" si="44"/>
        <v>28.09</v>
      </c>
      <c r="AJ123" s="4">
        <f t="shared" si="45"/>
        <v>67.349999999999994</v>
      </c>
      <c r="AK123" s="3">
        <f t="shared" si="45"/>
        <v>32.65</v>
      </c>
      <c r="AL123" s="1">
        <f t="shared" si="50"/>
        <v>16.91</v>
      </c>
      <c r="AM123" s="1">
        <f t="shared" si="51"/>
        <v>17.48</v>
      </c>
      <c r="AN123" s="3">
        <f t="shared" si="52"/>
        <v>17.350000000000001</v>
      </c>
      <c r="AO123" s="1" t="b">
        <f t="shared" si="46"/>
        <v>0</v>
      </c>
      <c r="AP123" s="1" t="b">
        <f t="shared" si="46"/>
        <v>0</v>
      </c>
      <c r="AQ123" s="3" t="b">
        <f t="shared" si="47"/>
        <v>0</v>
      </c>
      <c r="AR123" s="1">
        <f t="shared" si="48"/>
        <v>0.57000000000000028</v>
      </c>
      <c r="AS123" s="1">
        <f t="shared" si="48"/>
        <v>0.44000000000000128</v>
      </c>
      <c r="AT123" s="3">
        <f t="shared" si="49"/>
        <v>0.12999999999999901</v>
      </c>
      <c r="AU123" s="1">
        <f>ROUND(IF($B123="NSW",L123*Meta!$B$6,L123),1)</f>
        <v>3888.3</v>
      </c>
      <c r="AV123" s="3">
        <f t="shared" si="53"/>
        <v>96779.6</v>
      </c>
    </row>
    <row r="124" spans="1:48" x14ac:dyDescent="0.55000000000000004">
      <c r="A124" s="2" t="s">
        <v>125</v>
      </c>
      <c r="B124" s="3" t="s">
        <v>12</v>
      </c>
      <c r="C124" s="4">
        <v>45.08</v>
      </c>
      <c r="D124" s="5">
        <v>41.28</v>
      </c>
      <c r="E124" s="5">
        <v>0</v>
      </c>
      <c r="F124" s="5">
        <v>2.58</v>
      </c>
      <c r="G124" s="5">
        <v>7.24</v>
      </c>
      <c r="H124" s="5">
        <v>3.81</v>
      </c>
      <c r="I124" s="4">
        <v>46.5</v>
      </c>
      <c r="J124" s="3">
        <v>53.5</v>
      </c>
      <c r="K124" s="4">
        <v>92409</v>
      </c>
      <c r="L124" s="5">
        <v>7739</v>
      </c>
      <c r="M124" s="3">
        <f t="shared" si="32"/>
        <v>84670</v>
      </c>
      <c r="N124" s="5">
        <f t="shared" si="33"/>
        <v>8.3747254055340933E-2</v>
      </c>
      <c r="O124" s="4">
        <f>ROUND($C124+MIN($D124:$E124)*(1-SUMIFS(PrefFlows!$C:$C,PrefFlows!$A:$A,INDEX($D$1:$E$1,MATCH(MIN($D124:$E124),$D124:$E124,0)),PrefFlows!$B:$B,$B124)),2)</f>
        <v>45.08</v>
      </c>
      <c r="P124" s="5">
        <f>ROUND(MAX($D124:$E124)+MIN($D124:$E124)*SUMIFS(PrefFlows!$C:$C,PrefFlows!$A:$A,INDEX($D$1:$E$1,MATCH(MIN($D124:$E124),$D124:$E124,0)),PrefFlows!$B:$B,$B124),2)</f>
        <v>41.28</v>
      </c>
      <c r="Q124" s="5">
        <f t="shared" si="54"/>
        <v>2.58</v>
      </c>
      <c r="R124" s="5">
        <f t="shared" si="55"/>
        <v>7.24</v>
      </c>
      <c r="S124" s="3">
        <f t="shared" si="36"/>
        <v>3.81</v>
      </c>
      <c r="T124" s="6">
        <f t="shared" si="37"/>
        <v>-3.8</v>
      </c>
      <c r="U124" s="4">
        <f>ROUND($Q124*SUMIFS(PrefFlows!$C:$C,PrefFlows!$A:$A,$Q$1,PrefFlows!$B:$B,$B124)+$R124*SUMIFS(PrefFlows!$C:$C,PrefFlows!$A:$A,$R$1,PrefFlows!$B:$B,$B124)+$S124*SUMIFS(PrefFlows!$C:$C,PrefFlows!$A:$A,$S$1,PrefFlows!$B:$B,$B124),2)</f>
        <v>4.9400000000000004</v>
      </c>
      <c r="V124" s="3">
        <f>ROUND($Q124*(1-SUMIFS(PrefFlows!$C:$C,PrefFlows!$A:$A,$Q$1,PrefFlows!$B:$B,$B124))+$R124*(1-SUMIFS(PrefFlows!$C:$C,PrefFlows!$A:$A,$R$1,PrefFlows!$B:$B,$B124))+$S124*(1-SUMIFS(PrefFlows!$C:$C,PrefFlows!$A:$A,$S$1,PrefFlows!$B:$B,$B124)),2)</f>
        <v>8.69</v>
      </c>
      <c r="W124" s="4">
        <f t="shared" si="38"/>
        <v>5.22</v>
      </c>
      <c r="X124" s="3">
        <f t="shared" si="39"/>
        <v>8.42</v>
      </c>
      <c r="Y124" s="4">
        <f t="shared" si="40"/>
        <v>0.3624</v>
      </c>
      <c r="Z124" s="5">
        <f t="shared" si="41"/>
        <v>0.38269999999999998</v>
      </c>
      <c r="AA124" s="5">
        <f t="shared" si="42"/>
        <v>2.0299999999999999E-2</v>
      </c>
      <c r="AB124" s="3">
        <v>9.5385856472473309E-3</v>
      </c>
      <c r="AC124" s="4">
        <f>ROUND(Q124*(1-(Exhaust!$B$2+AB124)),2)</f>
        <v>1.1100000000000001</v>
      </c>
      <c r="AD124" s="5">
        <f>ROUND(R124*(1-(Exhaust!$B$3+$AB124)),2)</f>
        <v>4.2699999999999996</v>
      </c>
      <c r="AE124" s="3">
        <f>ROUND(S124*(1-(Exhaust!$B$4+$AB124)),2)</f>
        <v>1.87</v>
      </c>
      <c r="AF124" s="4">
        <f>ROUND($AC124*(SUMIFS(PrefFlows!$C:$C,PrefFlows!$A:$A,$Q$1,PrefFlows!$B:$B,$B124)+$AA124)+$AD124*(SUMIFS(PrefFlows!$C:$C,PrefFlows!$A:$A,$R$1,PrefFlows!$B:$B,$B124)+$AA124)+$AE124*(SUMIFS(PrefFlows!$C:$C,PrefFlows!$A:$A,$S$1,PrefFlows!$B:$B,$B124)+$AA124),2)</f>
        <v>2.6</v>
      </c>
      <c r="AG124" s="3">
        <f>ROUND($AC124*(1-(SUMIFS(PrefFlows!$C:$C,PrefFlows!$A:$A,$Q$1,PrefFlows!$B:$B,$B124)+$AA124))+$AD124*(1-(SUMIFS(PrefFlows!$C:$C,PrefFlows!$A:$A,$R$1,PrefFlows!$B:$B,$B124)+$AA124))+$AE124*(1-(SUMIFS(PrefFlows!$C:$C,PrefFlows!$A:$A,$S$1,PrefFlows!$B:$B,$B124)+$AA124)),2)</f>
        <v>4.6500000000000004</v>
      </c>
      <c r="AH124" s="4">
        <f t="shared" si="43"/>
        <v>43.88</v>
      </c>
      <c r="AI124" s="3">
        <f t="shared" si="44"/>
        <v>49.73</v>
      </c>
      <c r="AJ124" s="4">
        <f t="shared" si="45"/>
        <v>46.88</v>
      </c>
      <c r="AK124" s="3">
        <f t="shared" si="45"/>
        <v>53.12</v>
      </c>
      <c r="AL124" s="1">
        <f t="shared" si="50"/>
        <v>-3.5</v>
      </c>
      <c r="AM124" s="1">
        <f t="shared" si="51"/>
        <v>-2.92</v>
      </c>
      <c r="AN124" s="3">
        <f t="shared" si="52"/>
        <v>-3.12</v>
      </c>
      <c r="AO124" s="1" t="b">
        <f t="shared" si="46"/>
        <v>0</v>
      </c>
      <c r="AP124" s="1" t="b">
        <f t="shared" si="46"/>
        <v>0</v>
      </c>
      <c r="AQ124" s="3" t="b">
        <f t="shared" si="47"/>
        <v>0</v>
      </c>
      <c r="AR124" s="1">
        <f t="shared" si="48"/>
        <v>0.58000000000000007</v>
      </c>
      <c r="AS124" s="1">
        <f t="shared" si="48"/>
        <v>0.37999999999999989</v>
      </c>
      <c r="AT124" s="3">
        <f t="shared" si="49"/>
        <v>0.20000000000000018</v>
      </c>
      <c r="AU124" s="1">
        <f>ROUND(IF($B124="NSW",L124*Meta!$B$6,L124),1)</f>
        <v>5146.3999999999996</v>
      </c>
      <c r="AV124" s="3">
        <f t="shared" si="53"/>
        <v>88412.6</v>
      </c>
    </row>
    <row r="125" spans="1:48" x14ac:dyDescent="0.55000000000000004">
      <c r="A125" s="2" t="s">
        <v>126</v>
      </c>
      <c r="B125" s="3" t="s">
        <v>12</v>
      </c>
      <c r="C125" s="4">
        <v>41.08</v>
      </c>
      <c r="D125" s="5">
        <v>32.520000000000003</v>
      </c>
      <c r="E125" s="5">
        <v>0</v>
      </c>
      <c r="F125" s="5">
        <v>17.77</v>
      </c>
      <c r="G125" s="5">
        <v>6.9</v>
      </c>
      <c r="H125" s="5">
        <v>1.74</v>
      </c>
      <c r="I125" s="4">
        <v>44.96</v>
      </c>
      <c r="J125" s="3">
        <v>55.04</v>
      </c>
      <c r="K125" s="4">
        <v>114513</v>
      </c>
      <c r="L125" s="5">
        <v>6694</v>
      </c>
      <c r="M125" s="3">
        <f t="shared" si="32"/>
        <v>107819</v>
      </c>
      <c r="N125" s="5">
        <f t="shared" si="33"/>
        <v>5.8456245142472905E-2</v>
      </c>
      <c r="O125" s="4">
        <f>ROUND($C125+MIN($D125:$E125)*(1-SUMIFS(PrefFlows!$C:$C,PrefFlows!$A:$A,INDEX($D$1:$E$1,MATCH(MIN($D125:$E125),$D125:$E125,0)),PrefFlows!$B:$B,$B125)),2)</f>
        <v>41.08</v>
      </c>
      <c r="P125" s="5">
        <f>ROUND(MAX($D125:$E125)+MIN($D125:$E125)*SUMIFS(PrefFlows!$C:$C,PrefFlows!$A:$A,INDEX($D$1:$E$1,MATCH(MIN($D125:$E125),$D125:$E125,0)),PrefFlows!$B:$B,$B125),2)</f>
        <v>32.520000000000003</v>
      </c>
      <c r="Q125" s="5">
        <f t="shared" si="54"/>
        <v>17.77</v>
      </c>
      <c r="R125" s="5">
        <f t="shared" si="55"/>
        <v>6.9</v>
      </c>
      <c r="S125" s="3">
        <f t="shared" si="36"/>
        <v>1.74</v>
      </c>
      <c r="T125" s="6">
        <f t="shared" si="37"/>
        <v>-8.56</v>
      </c>
      <c r="U125" s="4">
        <f>ROUND($Q125*SUMIFS(PrefFlows!$C:$C,PrefFlows!$A:$A,$Q$1,PrefFlows!$B:$B,$B125)+$R125*SUMIFS(PrefFlows!$C:$C,PrefFlows!$A:$A,$R$1,PrefFlows!$B:$B,$B125)+$S125*SUMIFS(PrefFlows!$C:$C,PrefFlows!$A:$A,$S$1,PrefFlows!$B:$B,$B125),2)</f>
        <v>13.57</v>
      </c>
      <c r="V125" s="3">
        <f>ROUND($Q125*(1-SUMIFS(PrefFlows!$C:$C,PrefFlows!$A:$A,$Q$1,PrefFlows!$B:$B,$B125))+$R125*(1-SUMIFS(PrefFlows!$C:$C,PrefFlows!$A:$A,$R$1,PrefFlows!$B:$B,$B125))+$S125*(1-SUMIFS(PrefFlows!$C:$C,PrefFlows!$A:$A,$S$1,PrefFlows!$B:$B,$B125)),2)</f>
        <v>12.84</v>
      </c>
      <c r="W125" s="4">
        <f t="shared" si="38"/>
        <v>12.44</v>
      </c>
      <c r="X125" s="3">
        <f t="shared" si="39"/>
        <v>13.96</v>
      </c>
      <c r="Y125" s="4">
        <f t="shared" si="40"/>
        <v>0.51380000000000003</v>
      </c>
      <c r="Z125" s="5">
        <f t="shared" si="41"/>
        <v>0.47120000000000001</v>
      </c>
      <c r="AA125" s="5">
        <f t="shared" si="42"/>
        <v>-4.2599999999999999E-2</v>
      </c>
      <c r="AB125" s="3">
        <v>5.7817234551701999E-2</v>
      </c>
      <c r="AC125" s="4">
        <f>ROUND(Q125*(1-(Exhaust!$B$2+AB125)),2)</f>
        <v>6.79</v>
      </c>
      <c r="AD125" s="5">
        <f>ROUND(R125*(1-(Exhaust!$B$3+$AB125)),2)</f>
        <v>3.74</v>
      </c>
      <c r="AE125" s="3">
        <f>ROUND(S125*(1-(Exhaust!$B$4+$AB125)),2)</f>
        <v>0.77</v>
      </c>
      <c r="AF125" s="4">
        <f>ROUND($AC125*(SUMIFS(PrefFlows!$C:$C,PrefFlows!$A:$A,$Q$1,PrefFlows!$B:$B,$B125)+$AA125)+$AD125*(SUMIFS(PrefFlows!$C:$C,PrefFlows!$A:$A,$R$1,PrefFlows!$B:$B,$B125)+$AA125)+$AE125*(SUMIFS(PrefFlows!$C:$C,PrefFlows!$A:$A,$S$1,PrefFlows!$B:$B,$B125)+$AA125),2)</f>
        <v>4.96</v>
      </c>
      <c r="AG125" s="3">
        <f>ROUND($AC125*(1-(SUMIFS(PrefFlows!$C:$C,PrefFlows!$A:$A,$Q$1,PrefFlows!$B:$B,$B125)+$AA125))+$AD125*(1-(SUMIFS(PrefFlows!$C:$C,PrefFlows!$A:$A,$R$1,PrefFlows!$B:$B,$B125)+$AA125))+$AE125*(1-(SUMIFS(PrefFlows!$C:$C,PrefFlows!$A:$A,$S$1,PrefFlows!$B:$B,$B125)+$AA125)),2)</f>
        <v>6.34</v>
      </c>
      <c r="AH125" s="4">
        <f t="shared" si="43"/>
        <v>37.479999999999997</v>
      </c>
      <c r="AI125" s="3">
        <f t="shared" si="44"/>
        <v>47.42</v>
      </c>
      <c r="AJ125" s="4">
        <f t="shared" si="45"/>
        <v>44.15</v>
      </c>
      <c r="AK125" s="3">
        <f t="shared" si="45"/>
        <v>55.85</v>
      </c>
      <c r="AL125" s="1">
        <f t="shared" si="50"/>
        <v>-5.04</v>
      </c>
      <c r="AM125" s="1">
        <f t="shared" si="51"/>
        <v>-5.35</v>
      </c>
      <c r="AN125" s="3">
        <f t="shared" si="52"/>
        <v>-5.85</v>
      </c>
      <c r="AO125" s="1" t="b">
        <f t="shared" si="46"/>
        <v>0</v>
      </c>
      <c r="AP125" s="1" t="b">
        <f t="shared" si="46"/>
        <v>0</v>
      </c>
      <c r="AQ125" s="3" t="b">
        <f t="shared" si="47"/>
        <v>0</v>
      </c>
      <c r="AR125" s="1">
        <f t="shared" si="48"/>
        <v>-0.30999999999999961</v>
      </c>
      <c r="AS125" s="1">
        <f t="shared" si="48"/>
        <v>-0.80999999999999961</v>
      </c>
      <c r="AT125" s="3">
        <f t="shared" si="49"/>
        <v>0.5</v>
      </c>
      <c r="AU125" s="1">
        <f>ROUND(IF($B125="NSW",L125*Meta!$B$6,L125),1)</f>
        <v>4451.5</v>
      </c>
      <c r="AV125" s="3">
        <f t="shared" si="53"/>
        <v>111056.3</v>
      </c>
    </row>
    <row r="126" spans="1:48" x14ac:dyDescent="0.55000000000000004">
      <c r="A126" s="2" t="s">
        <v>127</v>
      </c>
      <c r="B126" s="3" t="s">
        <v>29</v>
      </c>
      <c r="C126" s="4">
        <v>29.05</v>
      </c>
      <c r="D126" s="5">
        <v>43.72</v>
      </c>
      <c r="E126" s="5">
        <v>1.34</v>
      </c>
      <c r="F126" s="5">
        <v>10.7</v>
      </c>
      <c r="G126" s="5">
        <v>8.68</v>
      </c>
      <c r="H126" s="5">
        <v>6.5</v>
      </c>
      <c r="I126" s="4">
        <v>57.52</v>
      </c>
      <c r="J126" s="3">
        <v>42.48</v>
      </c>
      <c r="K126" s="4">
        <v>107414</v>
      </c>
      <c r="L126" s="5">
        <v>7491</v>
      </c>
      <c r="M126" s="3">
        <f t="shared" si="32"/>
        <v>99923</v>
      </c>
      <c r="N126" s="5">
        <f t="shared" si="33"/>
        <v>6.9739512540264767E-2</v>
      </c>
      <c r="O126" s="4">
        <f>ROUND($C126+MIN($D126:$E126)*(1-SUMIFS(PrefFlows!$C:$C,PrefFlows!$A:$A,INDEX($D$1:$E$1,MATCH(MIN($D126:$E126),$D126:$E126,0)),PrefFlows!$B:$B,$B126)),2)</f>
        <v>29.28</v>
      </c>
      <c r="P126" s="5">
        <f>ROUND(MAX($D126:$E126)+MIN($D126:$E126)*SUMIFS(PrefFlows!$C:$C,PrefFlows!$A:$A,INDEX($D$1:$E$1,MATCH(MIN($D126:$E126),$D126:$E126,0)),PrefFlows!$B:$B,$B126),2)</f>
        <v>44.83</v>
      </c>
      <c r="Q126" s="5">
        <f t="shared" si="54"/>
        <v>10.7</v>
      </c>
      <c r="R126" s="5">
        <f t="shared" si="55"/>
        <v>8.68</v>
      </c>
      <c r="S126" s="3">
        <f t="shared" si="36"/>
        <v>6.5</v>
      </c>
      <c r="T126" s="6">
        <f t="shared" si="37"/>
        <v>15.55</v>
      </c>
      <c r="U126" s="4">
        <f>ROUND($Q126*SUMIFS(PrefFlows!$C:$C,PrefFlows!$A:$A,$Q$1,PrefFlows!$B:$B,$B126)+$R126*SUMIFS(PrefFlows!$C:$C,PrefFlows!$A:$A,$R$1,PrefFlows!$B:$B,$B126)+$S126*SUMIFS(PrefFlows!$C:$C,PrefFlows!$A:$A,$S$1,PrefFlows!$B:$B,$B126),2)</f>
        <v>11.97</v>
      </c>
      <c r="V126" s="3">
        <f>ROUND($Q126*(1-SUMIFS(PrefFlows!$C:$C,PrefFlows!$A:$A,$Q$1,PrefFlows!$B:$B,$B126))+$R126*(1-SUMIFS(PrefFlows!$C:$C,PrefFlows!$A:$A,$R$1,PrefFlows!$B:$B,$B126))+$S126*(1-SUMIFS(PrefFlows!$C:$C,PrefFlows!$A:$A,$S$1,PrefFlows!$B:$B,$B126)),2)</f>
        <v>13.91</v>
      </c>
      <c r="W126" s="4">
        <f t="shared" si="38"/>
        <v>12.69</v>
      </c>
      <c r="X126" s="3">
        <f t="shared" si="39"/>
        <v>13.2</v>
      </c>
      <c r="Y126" s="4">
        <f t="shared" si="40"/>
        <v>0.46250000000000002</v>
      </c>
      <c r="Z126" s="5">
        <f t="shared" si="41"/>
        <v>0.49020000000000002</v>
      </c>
      <c r="AA126" s="5">
        <f t="shared" si="42"/>
        <v>2.7699999999999999E-2</v>
      </c>
      <c r="AB126" s="3">
        <v>3.8662176688448298E-2</v>
      </c>
      <c r="AC126" s="4">
        <f>ROUND(Q126*(1-(Exhaust!$B$2+AB126)),2)</f>
        <v>4.29</v>
      </c>
      <c r="AD126" s="5">
        <f>ROUND(R126*(1-(Exhaust!$B$3+$AB126)),2)</f>
        <v>4.87</v>
      </c>
      <c r="AE126" s="3">
        <f>ROUND(S126*(1-(Exhaust!$B$4+$AB126)),2)</f>
        <v>3</v>
      </c>
      <c r="AF126" s="4">
        <f>ROUND($AC126*(SUMIFS(PrefFlows!$C:$C,PrefFlows!$A:$A,$Q$1,PrefFlows!$B:$B,$B126)+$AA126)+$AD126*(SUMIFS(PrefFlows!$C:$C,PrefFlows!$A:$A,$R$1,PrefFlows!$B:$B,$B126)+$AA126)+$AE126*(SUMIFS(PrefFlows!$C:$C,PrefFlows!$A:$A,$S$1,PrefFlows!$B:$B,$B126)+$AA126),2)</f>
        <v>5.62</v>
      </c>
      <c r="AG126" s="3">
        <f>ROUND($AC126*(1-(SUMIFS(PrefFlows!$C:$C,PrefFlows!$A:$A,$Q$1,PrefFlows!$B:$B,$B126)+$AA126))+$AD126*(1-(SUMIFS(PrefFlows!$C:$C,PrefFlows!$A:$A,$R$1,PrefFlows!$B:$B,$B126)+$AA126))+$AE126*(1-(SUMIFS(PrefFlows!$C:$C,PrefFlows!$A:$A,$S$1,PrefFlows!$B:$B,$B126)+$AA126)),2)</f>
        <v>6.54</v>
      </c>
      <c r="AH126" s="4">
        <f t="shared" si="43"/>
        <v>50.45</v>
      </c>
      <c r="AI126" s="3">
        <f t="shared" si="44"/>
        <v>35.82</v>
      </c>
      <c r="AJ126" s="4">
        <f t="shared" si="45"/>
        <v>58.48</v>
      </c>
      <c r="AK126" s="3">
        <f t="shared" si="45"/>
        <v>41.52</v>
      </c>
      <c r="AL126" s="1">
        <f t="shared" si="50"/>
        <v>7.52</v>
      </c>
      <c r="AM126" s="1">
        <f t="shared" si="51"/>
        <v>8.73</v>
      </c>
      <c r="AN126" s="3">
        <f t="shared" si="52"/>
        <v>8.48</v>
      </c>
      <c r="AO126" s="1" t="b">
        <f t="shared" si="46"/>
        <v>0</v>
      </c>
      <c r="AP126" s="1" t="b">
        <f t="shared" si="46"/>
        <v>0</v>
      </c>
      <c r="AQ126" s="3" t="b">
        <f t="shared" si="47"/>
        <v>0</v>
      </c>
      <c r="AR126" s="1">
        <f t="shared" si="48"/>
        <v>1.2100000000000009</v>
      </c>
      <c r="AS126" s="1">
        <f t="shared" si="48"/>
        <v>0.96000000000000085</v>
      </c>
      <c r="AT126" s="3">
        <f t="shared" si="49"/>
        <v>0.25</v>
      </c>
      <c r="AU126" s="1">
        <f>ROUND(IF($B126="NSW",L126*Meta!$B$6,L126),1)</f>
        <v>7491</v>
      </c>
      <c r="AV126" s="3">
        <f t="shared" si="53"/>
        <v>101597</v>
      </c>
    </row>
    <row r="127" spans="1:48" x14ac:dyDescent="0.55000000000000004">
      <c r="A127" s="2" t="s">
        <v>128</v>
      </c>
      <c r="B127" s="3" t="s">
        <v>29</v>
      </c>
      <c r="C127" s="4">
        <v>34.44</v>
      </c>
      <c r="D127" s="5">
        <v>37.4</v>
      </c>
      <c r="E127" s="5">
        <v>0</v>
      </c>
      <c r="F127" s="5">
        <v>4.55</v>
      </c>
      <c r="G127" s="5">
        <v>18.87</v>
      </c>
      <c r="H127" s="5">
        <v>4.74</v>
      </c>
      <c r="I127" s="4">
        <v>45.07</v>
      </c>
      <c r="J127" s="3">
        <v>54.93</v>
      </c>
      <c r="K127" s="4">
        <v>91926</v>
      </c>
      <c r="L127" s="5">
        <v>4220</v>
      </c>
      <c r="M127" s="3">
        <f t="shared" si="32"/>
        <v>87706</v>
      </c>
      <c r="N127" s="5">
        <f t="shared" si="33"/>
        <v>4.5906490002828364E-2</v>
      </c>
      <c r="O127" s="4">
        <f>ROUND($C127+MIN($D127:$E127)*(1-SUMIFS(PrefFlows!$C:$C,PrefFlows!$A:$A,INDEX($D$1:$E$1,MATCH(MIN($D127:$E127),$D127:$E127,0)),PrefFlows!$B:$B,$B127)),2)</f>
        <v>34.44</v>
      </c>
      <c r="P127" s="5">
        <f>ROUND(MAX($D127:$E127)+MIN($D127:$E127)*SUMIFS(PrefFlows!$C:$C,PrefFlows!$A:$A,INDEX($D$1:$E$1,MATCH(MIN($D127:$E127),$D127:$E127,0)),PrefFlows!$B:$B,$B127),2)</f>
        <v>37.4</v>
      </c>
      <c r="Q127" s="5">
        <f t="shared" si="54"/>
        <v>4.55</v>
      </c>
      <c r="R127" s="5">
        <f t="shared" si="55"/>
        <v>18.87</v>
      </c>
      <c r="S127" s="3">
        <f t="shared" si="36"/>
        <v>4.74</v>
      </c>
      <c r="T127" s="6">
        <f t="shared" si="37"/>
        <v>2.96</v>
      </c>
      <c r="U127" s="4">
        <f>ROUND($Q127*SUMIFS(PrefFlows!$C:$C,PrefFlows!$A:$A,$Q$1,PrefFlows!$B:$B,$B127)+$R127*SUMIFS(PrefFlows!$C:$C,PrefFlows!$A:$A,$R$1,PrefFlows!$B:$B,$B127)+$S127*SUMIFS(PrefFlows!$C:$C,PrefFlows!$A:$A,$S$1,PrefFlows!$B:$B,$B127),2)</f>
        <v>9.19</v>
      </c>
      <c r="V127" s="3">
        <f>ROUND($Q127*(1-SUMIFS(PrefFlows!$C:$C,PrefFlows!$A:$A,$Q$1,PrefFlows!$B:$B,$B127))+$R127*(1-SUMIFS(PrefFlows!$C:$C,PrefFlows!$A:$A,$R$1,PrefFlows!$B:$B,$B127))+$S127*(1-SUMIFS(PrefFlows!$C:$C,PrefFlows!$A:$A,$S$1,PrefFlows!$B:$B,$B127)),2)</f>
        <v>18.97</v>
      </c>
      <c r="W127" s="4">
        <f t="shared" si="38"/>
        <v>7.67</v>
      </c>
      <c r="X127" s="3">
        <f t="shared" si="39"/>
        <v>20.49</v>
      </c>
      <c r="Y127" s="4">
        <f t="shared" si="40"/>
        <v>0.32629999999999998</v>
      </c>
      <c r="Z127" s="5">
        <f t="shared" si="41"/>
        <v>0.27239999999999998</v>
      </c>
      <c r="AA127" s="5">
        <f t="shared" si="42"/>
        <v>-5.3900000000000003E-2</v>
      </c>
      <c r="AB127" s="3">
        <v>-2.2417294375945099E-2</v>
      </c>
      <c r="AC127" s="4">
        <f>ROUND(Q127*(1-(Exhaust!$B$2+AB127)),2)</f>
        <v>2.1</v>
      </c>
      <c r="AD127" s="5">
        <f>ROUND(R127*(1-(Exhaust!$B$3+$AB127)),2)</f>
        <v>11.75</v>
      </c>
      <c r="AE127" s="3">
        <f>ROUND(S127*(1-(Exhaust!$B$4+$AB127)),2)</f>
        <v>2.48</v>
      </c>
      <c r="AF127" s="4">
        <f>ROUND($AC127*(SUMIFS(PrefFlows!$C:$C,PrefFlows!$A:$A,$Q$1,PrefFlows!$B:$B,$B127)+$AA127)+$AD127*(SUMIFS(PrefFlows!$C:$C,PrefFlows!$A:$A,$R$1,PrefFlows!$B:$B,$B127)+$AA127)+$AE127*(SUMIFS(PrefFlows!$C:$C,PrefFlows!$A:$A,$S$1,PrefFlows!$B:$B,$B127)+$AA127),2)</f>
        <v>4.13</v>
      </c>
      <c r="AG127" s="3">
        <f>ROUND($AC127*(1-(SUMIFS(PrefFlows!$C:$C,PrefFlows!$A:$A,$Q$1,PrefFlows!$B:$B,$B127)+$AA127))+$AD127*(1-(SUMIFS(PrefFlows!$C:$C,PrefFlows!$A:$A,$R$1,PrefFlows!$B:$B,$B127)+$AA127))+$AE127*(1-(SUMIFS(PrefFlows!$C:$C,PrefFlows!$A:$A,$S$1,PrefFlows!$B:$B,$B127)+$AA127)),2)</f>
        <v>12.2</v>
      </c>
      <c r="AH127" s="4">
        <f t="shared" si="43"/>
        <v>41.53</v>
      </c>
      <c r="AI127" s="3">
        <f t="shared" si="44"/>
        <v>46.64</v>
      </c>
      <c r="AJ127" s="4">
        <f t="shared" si="45"/>
        <v>47.1</v>
      </c>
      <c r="AK127" s="3">
        <f t="shared" si="45"/>
        <v>52.9</v>
      </c>
      <c r="AL127" s="1">
        <f t="shared" si="50"/>
        <v>-4.93</v>
      </c>
      <c r="AM127" s="1">
        <f t="shared" si="51"/>
        <v>-2.14</v>
      </c>
      <c r="AN127" s="3">
        <f t="shared" si="52"/>
        <v>-2.9</v>
      </c>
      <c r="AO127" s="1" t="b">
        <f t="shared" si="46"/>
        <v>0</v>
      </c>
      <c r="AP127" s="1" t="b">
        <f t="shared" si="46"/>
        <v>0</v>
      </c>
      <c r="AQ127" s="3" t="b">
        <f t="shared" si="47"/>
        <v>0</v>
      </c>
      <c r="AR127" s="1">
        <f t="shared" si="48"/>
        <v>2.7899999999999996</v>
      </c>
      <c r="AS127" s="1">
        <f t="shared" si="48"/>
        <v>2.0299999999999998</v>
      </c>
      <c r="AT127" s="3">
        <f t="shared" si="49"/>
        <v>0.75999999999999979</v>
      </c>
      <c r="AU127" s="1">
        <f>ROUND(IF($B127="NSW",L127*Meta!$B$6,L127),1)</f>
        <v>4220</v>
      </c>
      <c r="AV127" s="3">
        <f t="shared" si="53"/>
        <v>88649</v>
      </c>
    </row>
    <row r="128" spans="1:48" x14ac:dyDescent="0.55000000000000004">
      <c r="A128" s="2" t="s">
        <v>129</v>
      </c>
      <c r="B128" s="3" t="s">
        <v>21</v>
      </c>
      <c r="C128" s="4">
        <v>30.86</v>
      </c>
      <c r="D128" s="5">
        <v>48.11</v>
      </c>
      <c r="E128" s="5">
        <v>0</v>
      </c>
      <c r="F128" s="5">
        <v>10.83</v>
      </c>
      <c r="G128" s="5">
        <v>8.74</v>
      </c>
      <c r="H128" s="5">
        <v>1.47</v>
      </c>
      <c r="I128" s="4">
        <v>58.4</v>
      </c>
      <c r="J128" s="3">
        <v>41.6</v>
      </c>
      <c r="K128" s="4">
        <v>105410</v>
      </c>
      <c r="L128" s="5">
        <v>3813</v>
      </c>
      <c r="M128" s="3">
        <f t="shared" si="32"/>
        <v>101597</v>
      </c>
      <c r="N128" s="5">
        <f t="shared" si="33"/>
        <v>3.6173038611137465E-2</v>
      </c>
      <c r="O128" s="4">
        <f>ROUND($C128+MIN($D128:$E128)*(1-SUMIFS(PrefFlows!$C:$C,PrefFlows!$A:$A,INDEX($D$1:$E$1,MATCH(MIN($D128:$E128),$D128:$E128,0)),PrefFlows!$B:$B,$B128)),2)</f>
        <v>30.86</v>
      </c>
      <c r="P128" s="5">
        <f>ROUND(MAX($D128:$E128)+MIN($D128:$E128)*SUMIFS(PrefFlows!$C:$C,PrefFlows!$A:$A,INDEX($D$1:$E$1,MATCH(MIN($D128:$E128),$D128:$E128,0)),PrefFlows!$B:$B,$B128),2)</f>
        <v>48.11</v>
      </c>
      <c r="Q128" s="5">
        <f t="shared" si="54"/>
        <v>10.83</v>
      </c>
      <c r="R128" s="5">
        <f t="shared" si="55"/>
        <v>8.74</v>
      </c>
      <c r="S128" s="3">
        <f t="shared" si="36"/>
        <v>1.47</v>
      </c>
      <c r="T128" s="6">
        <f t="shared" si="37"/>
        <v>17.25</v>
      </c>
      <c r="U128" s="4">
        <f>ROUND($Q128*SUMIFS(PrefFlows!$C:$C,PrefFlows!$A:$A,$Q$1,PrefFlows!$B:$B,$B128)+$R128*SUMIFS(PrefFlows!$C:$C,PrefFlows!$A:$A,$R$1,PrefFlows!$B:$B,$B128)+$S128*SUMIFS(PrefFlows!$C:$C,PrefFlows!$A:$A,$S$1,PrefFlows!$B:$B,$B128),2)</f>
        <v>9.85</v>
      </c>
      <c r="V128" s="3">
        <f>ROUND($Q128*(1-SUMIFS(PrefFlows!$C:$C,PrefFlows!$A:$A,$Q$1,PrefFlows!$B:$B,$B128))+$R128*(1-SUMIFS(PrefFlows!$C:$C,PrefFlows!$A:$A,$R$1,PrefFlows!$B:$B,$B128))+$S128*(1-SUMIFS(PrefFlows!$C:$C,PrefFlows!$A:$A,$S$1,PrefFlows!$B:$B,$B128)),2)</f>
        <v>11.19</v>
      </c>
      <c r="W128" s="4">
        <f t="shared" si="38"/>
        <v>10.29</v>
      </c>
      <c r="X128" s="3">
        <f t="shared" si="39"/>
        <v>10.74</v>
      </c>
      <c r="Y128" s="4">
        <f t="shared" si="40"/>
        <v>0.46820000000000001</v>
      </c>
      <c r="Z128" s="5">
        <f t="shared" si="41"/>
        <v>0.48930000000000001</v>
      </c>
      <c r="AA128" s="5">
        <f t="shared" si="42"/>
        <v>2.1100000000000001E-2</v>
      </c>
      <c r="AB128" s="3">
        <v>2.6599115733188801E-2</v>
      </c>
      <c r="AC128" s="4">
        <f>ROUND(Q128*(1-(Exhaust!$B$2+AB128)),2)</f>
        <v>4.4800000000000004</v>
      </c>
      <c r="AD128" s="5">
        <f>ROUND(R128*(1-(Exhaust!$B$3+$AB128)),2)</f>
        <v>5.01</v>
      </c>
      <c r="AE128" s="3">
        <f>ROUND(S128*(1-(Exhaust!$B$4+$AB128)),2)</f>
        <v>0.7</v>
      </c>
      <c r="AF128" s="4">
        <f>ROUND($AC128*(SUMIFS(PrefFlows!$C:$C,PrefFlows!$A:$A,$Q$1,PrefFlows!$B:$B,$B128)+$AA128)+$AD128*(SUMIFS(PrefFlows!$C:$C,PrefFlows!$A:$A,$R$1,PrefFlows!$B:$B,$B128)+$AA128)+$AE128*(SUMIFS(PrefFlows!$C:$C,PrefFlows!$A:$A,$S$1,PrefFlows!$B:$B,$B128)+$AA128),2)</f>
        <v>4.62</v>
      </c>
      <c r="AG128" s="3">
        <f>ROUND($AC128*(1-(SUMIFS(PrefFlows!$C:$C,PrefFlows!$A:$A,$Q$1,PrefFlows!$B:$B,$B128)+$AA128))+$AD128*(1-(SUMIFS(PrefFlows!$C:$C,PrefFlows!$A:$A,$R$1,PrefFlows!$B:$B,$B128)+$AA128))+$AE128*(1-(SUMIFS(PrefFlows!$C:$C,PrefFlows!$A:$A,$S$1,PrefFlows!$B:$B,$B128)+$AA128)),2)</f>
        <v>5.57</v>
      </c>
      <c r="AH128" s="4">
        <f t="shared" si="43"/>
        <v>52.73</v>
      </c>
      <c r="AI128" s="3">
        <f t="shared" si="44"/>
        <v>36.43</v>
      </c>
      <c r="AJ128" s="4">
        <f t="shared" si="45"/>
        <v>59.14</v>
      </c>
      <c r="AK128" s="3">
        <f t="shared" si="45"/>
        <v>40.86</v>
      </c>
      <c r="AL128" s="1">
        <f t="shared" si="50"/>
        <v>8.4</v>
      </c>
      <c r="AM128" s="1">
        <f t="shared" si="51"/>
        <v>9.4600000000000009</v>
      </c>
      <c r="AN128" s="3">
        <f t="shared" si="52"/>
        <v>9.14</v>
      </c>
      <c r="AO128" s="1" t="b">
        <f t="shared" si="46"/>
        <v>0</v>
      </c>
      <c r="AP128" s="1" t="b">
        <f t="shared" si="46"/>
        <v>0</v>
      </c>
      <c r="AQ128" s="3" t="b">
        <f t="shared" si="47"/>
        <v>0</v>
      </c>
      <c r="AR128" s="1">
        <f t="shared" si="48"/>
        <v>1.0600000000000005</v>
      </c>
      <c r="AS128" s="1">
        <f t="shared" si="48"/>
        <v>0.74000000000000021</v>
      </c>
      <c r="AT128" s="3">
        <f t="shared" si="49"/>
        <v>0.32000000000000028</v>
      </c>
      <c r="AU128" s="1">
        <f>ROUND(IF($B128="NSW",L128*Meta!$B$6,L128),1)</f>
        <v>3813</v>
      </c>
      <c r="AV128" s="3">
        <f t="shared" si="53"/>
        <v>102449.1</v>
      </c>
    </row>
    <row r="129" spans="1:48" x14ac:dyDescent="0.55000000000000004">
      <c r="A129" s="2" t="s">
        <v>130</v>
      </c>
      <c r="B129" s="3" t="s">
        <v>21</v>
      </c>
      <c r="C129" s="4">
        <v>41.43</v>
      </c>
      <c r="D129" s="5">
        <v>31.35</v>
      </c>
      <c r="E129" s="5">
        <v>0</v>
      </c>
      <c r="F129" s="5">
        <v>12.25</v>
      </c>
      <c r="G129" s="5">
        <v>9.08</v>
      </c>
      <c r="H129" s="5">
        <v>5.89</v>
      </c>
      <c r="I129" s="4">
        <v>43.56</v>
      </c>
      <c r="J129" s="3">
        <v>56.44</v>
      </c>
      <c r="K129" s="4">
        <v>91975</v>
      </c>
      <c r="L129" s="5">
        <v>7111</v>
      </c>
      <c r="M129" s="3">
        <f t="shared" si="32"/>
        <v>84864</v>
      </c>
      <c r="N129" s="5">
        <f t="shared" si="33"/>
        <v>7.7314487632508838E-2</v>
      </c>
      <c r="O129" s="4">
        <f>ROUND($C129+MIN($D129:$E129)*(1-SUMIFS(PrefFlows!$C:$C,PrefFlows!$A:$A,INDEX($D$1:$E$1,MATCH(MIN($D129:$E129),$D129:$E129,0)),PrefFlows!$B:$B,$B129)),2)</f>
        <v>41.43</v>
      </c>
      <c r="P129" s="5">
        <f>ROUND(MAX($D129:$E129)+MIN($D129:$E129)*SUMIFS(PrefFlows!$C:$C,PrefFlows!$A:$A,INDEX($D$1:$E$1,MATCH(MIN($D129:$E129),$D129:$E129,0)),PrefFlows!$B:$B,$B129),2)</f>
        <v>31.35</v>
      </c>
      <c r="Q129" s="5">
        <f t="shared" si="54"/>
        <v>12.25</v>
      </c>
      <c r="R129" s="5">
        <f t="shared" si="55"/>
        <v>9.08</v>
      </c>
      <c r="S129" s="3">
        <f t="shared" si="36"/>
        <v>5.89</v>
      </c>
      <c r="T129" s="6">
        <f t="shared" si="37"/>
        <v>-10.08</v>
      </c>
      <c r="U129" s="4">
        <f>ROUND($Q129*SUMIFS(PrefFlows!$C:$C,PrefFlows!$A:$A,$Q$1,PrefFlows!$B:$B,$B129)+$R129*SUMIFS(PrefFlows!$C:$C,PrefFlows!$A:$A,$R$1,PrefFlows!$B:$B,$B129)+$S129*SUMIFS(PrefFlows!$C:$C,PrefFlows!$A:$A,$S$1,PrefFlows!$B:$B,$B129),2)</f>
        <v>13.11</v>
      </c>
      <c r="V129" s="3">
        <f>ROUND($Q129*(1-SUMIFS(PrefFlows!$C:$C,PrefFlows!$A:$A,$Q$1,PrefFlows!$B:$B,$B129))+$R129*(1-SUMIFS(PrefFlows!$C:$C,PrefFlows!$A:$A,$R$1,PrefFlows!$B:$B,$B129))+$S129*(1-SUMIFS(PrefFlows!$C:$C,PrefFlows!$A:$A,$S$1,PrefFlows!$B:$B,$B129)),2)</f>
        <v>14.11</v>
      </c>
      <c r="W129" s="4">
        <f t="shared" si="38"/>
        <v>12.21</v>
      </c>
      <c r="X129" s="3">
        <f t="shared" si="39"/>
        <v>15.01</v>
      </c>
      <c r="Y129" s="4">
        <f t="shared" si="40"/>
        <v>0.48159999999999997</v>
      </c>
      <c r="Z129" s="5">
        <f t="shared" si="41"/>
        <v>0.4486</v>
      </c>
      <c r="AA129" s="5">
        <f t="shared" si="42"/>
        <v>-3.3000000000000002E-2</v>
      </c>
      <c r="AB129" s="3">
        <v>6.1355471129319397E-2</v>
      </c>
      <c r="AC129" s="4">
        <f>ROUND(Q129*(1-(Exhaust!$B$2+AB129)),2)</f>
        <v>4.6399999999999997</v>
      </c>
      <c r="AD129" s="5">
        <f>ROUND(R129*(1-(Exhaust!$B$3+$AB129)),2)</f>
        <v>4.8899999999999997</v>
      </c>
      <c r="AE129" s="3">
        <f>ROUND(S129*(1-(Exhaust!$B$4+$AB129)),2)</f>
        <v>2.58</v>
      </c>
      <c r="AF129" s="4">
        <f>ROUND($AC129*(SUMIFS(PrefFlows!$C:$C,PrefFlows!$A:$A,$Q$1,PrefFlows!$B:$B,$B129)+$AA129)+$AD129*(SUMIFS(PrefFlows!$C:$C,PrefFlows!$A:$A,$R$1,PrefFlows!$B:$B,$B129)+$AA129)+$AE129*(SUMIFS(PrefFlows!$C:$C,PrefFlows!$A:$A,$S$1,PrefFlows!$B:$B,$B129)+$AA129),2)</f>
        <v>5.04</v>
      </c>
      <c r="AG129" s="3">
        <f>ROUND($AC129*(1-(SUMIFS(PrefFlows!$C:$C,PrefFlows!$A:$A,$Q$1,PrefFlows!$B:$B,$B129)+$AA129))+$AD129*(1-(SUMIFS(PrefFlows!$C:$C,PrefFlows!$A:$A,$R$1,PrefFlows!$B:$B,$B129)+$AA129))+$AE129*(1-(SUMIFS(PrefFlows!$C:$C,PrefFlows!$A:$A,$S$1,PrefFlows!$B:$B,$B129)+$AA129)),2)</f>
        <v>7.07</v>
      </c>
      <c r="AH129" s="4">
        <f t="shared" si="43"/>
        <v>36.39</v>
      </c>
      <c r="AI129" s="3">
        <f t="shared" si="44"/>
        <v>48.5</v>
      </c>
      <c r="AJ129" s="4">
        <f t="shared" si="45"/>
        <v>42.87</v>
      </c>
      <c r="AK129" s="3">
        <f t="shared" si="45"/>
        <v>57.13</v>
      </c>
      <c r="AL129" s="1">
        <f t="shared" si="50"/>
        <v>-6.44</v>
      </c>
      <c r="AM129" s="1">
        <f t="shared" si="51"/>
        <v>-6.63</v>
      </c>
      <c r="AN129" s="3">
        <f t="shared" si="52"/>
        <v>-7.13</v>
      </c>
      <c r="AO129" s="1" t="b">
        <f t="shared" si="46"/>
        <v>0</v>
      </c>
      <c r="AP129" s="1" t="b">
        <f t="shared" si="46"/>
        <v>0</v>
      </c>
      <c r="AQ129" s="3" t="b">
        <f t="shared" si="47"/>
        <v>0</v>
      </c>
      <c r="AR129" s="1">
        <f t="shared" si="48"/>
        <v>-0.1899999999999995</v>
      </c>
      <c r="AS129" s="1">
        <f t="shared" si="48"/>
        <v>-0.6899999999999995</v>
      </c>
      <c r="AT129" s="3">
        <f t="shared" si="49"/>
        <v>0.5</v>
      </c>
      <c r="AU129" s="1">
        <f>ROUND(IF($B129="NSW",L129*Meta!$B$6,L129),1)</f>
        <v>7111</v>
      </c>
      <c r="AV129" s="3">
        <f t="shared" si="53"/>
        <v>86453.1</v>
      </c>
    </row>
    <row r="130" spans="1:48" x14ac:dyDescent="0.55000000000000004">
      <c r="A130" s="2" t="s">
        <v>131</v>
      </c>
      <c r="B130" s="3" t="s">
        <v>12</v>
      </c>
      <c r="C130" s="4">
        <v>37.21</v>
      </c>
      <c r="D130" s="5">
        <v>48.32</v>
      </c>
      <c r="E130" s="5">
        <v>0</v>
      </c>
      <c r="F130" s="5">
        <v>1.92</v>
      </c>
      <c r="G130" s="5">
        <v>8.08</v>
      </c>
      <c r="H130" s="5">
        <v>4.4800000000000004</v>
      </c>
      <c r="I130" s="4">
        <v>53.18</v>
      </c>
      <c r="J130" s="3">
        <v>46.82</v>
      </c>
      <c r="K130" s="4">
        <v>99847</v>
      </c>
      <c r="L130" s="5">
        <v>6119</v>
      </c>
      <c r="M130" s="3">
        <f t="shared" si="32"/>
        <v>93728</v>
      </c>
      <c r="N130" s="5">
        <f t="shared" si="33"/>
        <v>6.128376415916352E-2</v>
      </c>
      <c r="O130" s="4">
        <f>ROUND($C130+MIN($D130:$E130)*(1-SUMIFS(PrefFlows!$C:$C,PrefFlows!$A:$A,INDEX($D$1:$E$1,MATCH(MIN($D130:$E130),$D130:$E130,0)),PrefFlows!$B:$B,$B130)),2)</f>
        <v>37.21</v>
      </c>
      <c r="P130" s="5">
        <f>ROUND(MAX($D130:$E130)+MIN($D130:$E130)*SUMIFS(PrefFlows!$C:$C,PrefFlows!$A:$A,INDEX($D$1:$E$1,MATCH(MIN($D130:$E130),$D130:$E130,0)),PrefFlows!$B:$B,$B130),2)</f>
        <v>48.32</v>
      </c>
      <c r="Q130" s="5">
        <f t="shared" si="54"/>
        <v>1.92</v>
      </c>
      <c r="R130" s="5">
        <f t="shared" si="55"/>
        <v>8.08</v>
      </c>
      <c r="S130" s="3">
        <f t="shared" si="36"/>
        <v>4.4800000000000004</v>
      </c>
      <c r="T130" s="6">
        <f t="shared" si="37"/>
        <v>11.11</v>
      </c>
      <c r="U130" s="4">
        <f>ROUND($Q130*SUMIFS(PrefFlows!$C:$C,PrefFlows!$A:$A,$Q$1,PrefFlows!$B:$B,$B130)+$R130*SUMIFS(PrefFlows!$C:$C,PrefFlows!$A:$A,$R$1,PrefFlows!$B:$B,$B130)+$S130*SUMIFS(PrefFlows!$C:$C,PrefFlows!$A:$A,$S$1,PrefFlows!$B:$B,$B130),2)</f>
        <v>5.01</v>
      </c>
      <c r="V130" s="3">
        <f>ROUND($Q130*(1-SUMIFS(PrefFlows!$C:$C,PrefFlows!$A:$A,$Q$1,PrefFlows!$B:$B,$B130))+$R130*(1-SUMIFS(PrefFlows!$C:$C,PrefFlows!$A:$A,$R$1,PrefFlows!$B:$B,$B130))+$S130*(1-SUMIFS(PrefFlows!$C:$C,PrefFlows!$A:$A,$S$1,PrefFlows!$B:$B,$B130)),2)</f>
        <v>9.4700000000000006</v>
      </c>
      <c r="W130" s="4">
        <f t="shared" si="38"/>
        <v>4.8600000000000003</v>
      </c>
      <c r="X130" s="3">
        <f t="shared" si="39"/>
        <v>9.61</v>
      </c>
      <c r="Y130" s="4">
        <f t="shared" si="40"/>
        <v>0.34599999999999997</v>
      </c>
      <c r="Z130" s="5">
        <f t="shared" si="41"/>
        <v>0.33589999999999998</v>
      </c>
      <c r="AA130" s="5">
        <f t="shared" si="42"/>
        <v>-1.01E-2</v>
      </c>
      <c r="AB130" s="3">
        <v>-8.0023215786628795E-3</v>
      </c>
      <c r="AC130" s="4">
        <f>ROUND(Q130*(1-(Exhaust!$B$2+AB130)),2)</f>
        <v>0.86</v>
      </c>
      <c r="AD130" s="5">
        <f>ROUND(R130*(1-(Exhaust!$B$3+$AB130)),2)</f>
        <v>4.91</v>
      </c>
      <c r="AE130" s="3">
        <f>ROUND(S130*(1-(Exhaust!$B$4+$AB130)),2)</f>
        <v>2.2799999999999998</v>
      </c>
      <c r="AF130" s="4">
        <f>ROUND($AC130*(SUMIFS(PrefFlows!$C:$C,PrefFlows!$A:$A,$Q$1,PrefFlows!$B:$B,$B130)+$AA130)+$AD130*(SUMIFS(PrefFlows!$C:$C,PrefFlows!$A:$A,$R$1,PrefFlows!$B:$B,$B130)+$AA130)+$AE130*(SUMIFS(PrefFlows!$C:$C,PrefFlows!$A:$A,$S$1,PrefFlows!$B:$B,$B130)+$AA130),2)</f>
        <v>2.54</v>
      </c>
      <c r="AG130" s="3">
        <f>ROUND($AC130*(1-(SUMIFS(PrefFlows!$C:$C,PrefFlows!$A:$A,$Q$1,PrefFlows!$B:$B,$B130)+$AA130))+$AD130*(1-(SUMIFS(PrefFlows!$C:$C,PrefFlows!$A:$A,$R$1,PrefFlows!$B:$B,$B130)+$AA130))+$AE130*(1-(SUMIFS(PrefFlows!$C:$C,PrefFlows!$A:$A,$S$1,PrefFlows!$B:$B,$B130)+$AA130)),2)</f>
        <v>5.51</v>
      </c>
      <c r="AH130" s="4">
        <f t="shared" si="43"/>
        <v>50.86</v>
      </c>
      <c r="AI130" s="3">
        <f t="shared" si="44"/>
        <v>42.72</v>
      </c>
      <c r="AJ130" s="4">
        <f t="shared" si="45"/>
        <v>54.35</v>
      </c>
      <c r="AK130" s="3">
        <f t="shared" si="45"/>
        <v>45.65</v>
      </c>
      <c r="AL130" s="1">
        <f t="shared" ref="AL130:AL151" si="56">ROUND(I130-50,2)</f>
        <v>3.18</v>
      </c>
      <c r="AM130" s="1">
        <f t="shared" ref="AM130:AM151" si="57">ROUND((P130+W130*0.52)/((P130+W130*0.52)+(O130+X130*0.52))*100-50,2)</f>
        <v>4.6399999999999997</v>
      </c>
      <c r="AN130" s="3">
        <f t="shared" ref="AN130:AN151" si="58">ROUND(AJ130-50,2)</f>
        <v>4.3499999999999996</v>
      </c>
      <c r="AO130" s="1" t="b">
        <f t="shared" si="46"/>
        <v>0</v>
      </c>
      <c r="AP130" s="1" t="b">
        <f t="shared" si="46"/>
        <v>0</v>
      </c>
      <c r="AQ130" s="3" t="b">
        <f t="shared" si="47"/>
        <v>0</v>
      </c>
      <c r="AR130" s="1">
        <f t="shared" si="48"/>
        <v>1.4599999999999995</v>
      </c>
      <c r="AS130" s="1">
        <f t="shared" si="48"/>
        <v>1.1699999999999995</v>
      </c>
      <c r="AT130" s="3">
        <f t="shared" si="49"/>
        <v>0.29000000000000004</v>
      </c>
      <c r="AU130" s="1">
        <f>ROUND(IF($B130="NSW",L130*Meta!$B$6,L130),1)</f>
        <v>4069.1</v>
      </c>
      <c r="AV130" s="3">
        <f t="shared" ref="AV130:AV162" si="59">ROUND((K130-AU130*($AU$154/$AU$153))*SUM($AJ130:$AK130)/100,1)</f>
        <v>96687.2</v>
      </c>
    </row>
    <row r="131" spans="1:48" x14ac:dyDescent="0.55000000000000004">
      <c r="A131" s="2" t="s">
        <v>132</v>
      </c>
      <c r="B131" s="3" t="s">
        <v>12</v>
      </c>
      <c r="C131" s="4">
        <v>31.71</v>
      </c>
      <c r="D131" s="5">
        <v>0</v>
      </c>
      <c r="E131" s="5">
        <v>36.86</v>
      </c>
      <c r="F131" s="5">
        <v>3.9</v>
      </c>
      <c r="G131" s="5">
        <v>20.32</v>
      </c>
      <c r="H131" s="5">
        <v>7.21</v>
      </c>
      <c r="I131" s="4">
        <v>45.92</v>
      </c>
      <c r="J131" s="3">
        <v>54.08</v>
      </c>
      <c r="K131" s="4">
        <v>108381</v>
      </c>
      <c r="L131" s="5">
        <v>8061</v>
      </c>
      <c r="M131" s="3">
        <f t="shared" ref="M131:M152" si="60">ROUND(K131-L131,0)</f>
        <v>100320</v>
      </c>
      <c r="N131" s="5">
        <f t="shared" ref="N131:N152" si="61">L131/K131</f>
        <v>7.4376505106983695E-2</v>
      </c>
      <c r="O131" s="4">
        <f>ROUND($C131+MIN($D131:$E131)*(1-SUMIFS(PrefFlows!$C:$C,PrefFlows!$A:$A,INDEX($D$1:$E$1,MATCH(MIN($D131:$E131),$D131:$E131,0)),PrefFlows!$B:$B,$B131)),2)</f>
        <v>31.71</v>
      </c>
      <c r="P131" s="5">
        <f>ROUND(MAX($D131:$E131)+MIN($D131:$E131)*SUMIFS(PrefFlows!$C:$C,PrefFlows!$A:$A,INDEX($D$1:$E$1,MATCH(MIN($D131:$E131),$D131:$E131,0)),PrefFlows!$B:$B,$B131),2)</f>
        <v>36.86</v>
      </c>
      <c r="Q131" s="5">
        <f t="shared" ref="Q131:Q151" si="62">ROUND(F131,2)</f>
        <v>3.9</v>
      </c>
      <c r="R131" s="5">
        <f t="shared" ref="R131:R151" si="63">ROUND(G131,2)</f>
        <v>20.32</v>
      </c>
      <c r="S131" s="3">
        <f t="shared" ref="S131:S151" si="64">ROUND(H131,2)</f>
        <v>7.21</v>
      </c>
      <c r="T131" s="6">
        <f t="shared" ref="T131:T151" si="65">ROUND(P131-O131,2)</f>
        <v>5.15</v>
      </c>
      <c r="U131" s="4">
        <f>ROUND($Q131*SUMIFS(PrefFlows!$C:$C,PrefFlows!$A:$A,$Q$1,PrefFlows!$B:$B,$B131)+$R131*SUMIFS(PrefFlows!$C:$C,PrefFlows!$A:$A,$R$1,PrefFlows!$B:$B,$B131)+$S131*SUMIFS(PrefFlows!$C:$C,PrefFlows!$A:$A,$S$1,PrefFlows!$B:$B,$B131),2)</f>
        <v>9.9</v>
      </c>
      <c r="V131" s="3">
        <f>ROUND($Q131*(1-SUMIFS(PrefFlows!$C:$C,PrefFlows!$A:$A,$Q$1,PrefFlows!$B:$B,$B131))+$R131*(1-SUMIFS(PrefFlows!$C:$C,PrefFlows!$A:$A,$R$1,PrefFlows!$B:$B,$B131))+$S131*(1-SUMIFS(PrefFlows!$C:$C,PrefFlows!$A:$A,$S$1,PrefFlows!$B:$B,$B131)),2)</f>
        <v>21.53</v>
      </c>
      <c r="W131" s="4">
        <f t="shared" ref="W131:W151" si="66">ROUND(I131-P131,2)</f>
        <v>9.06</v>
      </c>
      <c r="X131" s="3">
        <f t="shared" ref="X131:X151" si="67">ROUND(J131-O131,2)</f>
        <v>22.37</v>
      </c>
      <c r="Y131" s="4">
        <f t="shared" ref="Y131:Y151" si="68">ROUND(U131/SUM(U131:V131),4)</f>
        <v>0.315</v>
      </c>
      <c r="Z131" s="5">
        <f t="shared" ref="Z131:Z151" si="69">ROUND(W131/SUM(W131:X131),4)</f>
        <v>0.2883</v>
      </c>
      <c r="AA131" s="5">
        <f t="shared" ref="AA131:AA151" si="70">ROUND(Z131-Y131,4)</f>
        <v>-2.6700000000000002E-2</v>
      </c>
      <c r="AB131" s="3">
        <v>1.2022457424884E-2</v>
      </c>
      <c r="AC131" s="4">
        <f>ROUND(Q131*(1-(Exhaust!$B$2+AB131)),2)</f>
        <v>1.67</v>
      </c>
      <c r="AD131" s="5">
        <f>ROUND(R131*(1-(Exhaust!$B$3+$AB131)),2)</f>
        <v>11.95</v>
      </c>
      <c r="AE131" s="3">
        <f>ROUND(S131*(1-(Exhaust!$B$4+$AB131)),2)</f>
        <v>3.52</v>
      </c>
      <c r="AF131" s="4">
        <f>ROUND($AC131*(SUMIFS(PrefFlows!$C:$C,PrefFlows!$A:$A,$Q$1,PrefFlows!$B:$B,$B131)+$AA131)+$AD131*(SUMIFS(PrefFlows!$C:$C,PrefFlows!$A:$A,$R$1,PrefFlows!$B:$B,$B131)+$AA131)+$AE131*(SUMIFS(PrefFlows!$C:$C,PrefFlows!$A:$A,$S$1,PrefFlows!$B:$B,$B131)+$AA131),2)</f>
        <v>4.58</v>
      </c>
      <c r="AG131" s="3">
        <f>ROUND($AC131*(1-(SUMIFS(PrefFlows!$C:$C,PrefFlows!$A:$A,$Q$1,PrefFlows!$B:$B,$B131)+$AA131))+$AD131*(1-(SUMIFS(PrefFlows!$C:$C,PrefFlows!$A:$A,$R$1,PrefFlows!$B:$B,$B131)+$AA131))+$AE131*(1-(SUMIFS(PrefFlows!$C:$C,PrefFlows!$A:$A,$S$1,PrefFlows!$B:$B,$B131)+$AA131)),2)</f>
        <v>12.56</v>
      </c>
      <c r="AH131" s="4">
        <f t="shared" ref="AH131:AH151" si="71">ROUND(P131+AF131,2)</f>
        <v>41.44</v>
      </c>
      <c r="AI131" s="3">
        <f t="shared" ref="AI131:AI151" si="72">ROUND(O131+AG131,2)</f>
        <v>44.27</v>
      </c>
      <c r="AJ131" s="4">
        <f t="shared" ref="AJ131:AK151" si="73">ROUND(AH131/SUM($AH131:$AI131)*100,2)</f>
        <v>48.35</v>
      </c>
      <c r="AK131" s="3">
        <f t="shared" si="73"/>
        <v>51.65</v>
      </c>
      <c r="AL131" s="1">
        <f t="shared" si="56"/>
        <v>-4.08</v>
      </c>
      <c r="AM131" s="1">
        <f t="shared" si="57"/>
        <v>-1.04</v>
      </c>
      <c r="AN131" s="3">
        <f t="shared" si="58"/>
        <v>-1.65</v>
      </c>
      <c r="AO131" s="1" t="b">
        <f t="shared" ref="AO131:AP151" si="74">$AL131/AM131&lt;0</f>
        <v>0</v>
      </c>
      <c r="AP131" s="1" t="b">
        <f t="shared" si="74"/>
        <v>0</v>
      </c>
      <c r="AQ131" s="3" t="b">
        <f t="shared" ref="AQ131:AQ151" si="75">AM131/AN131&lt;0</f>
        <v>0</v>
      </c>
      <c r="AR131" s="1">
        <f t="shared" ref="AR131:AS151" si="76">(AM131-$AL131)</f>
        <v>3.04</v>
      </c>
      <c r="AS131" s="1">
        <f t="shared" si="76"/>
        <v>2.4300000000000002</v>
      </c>
      <c r="AT131" s="3">
        <f t="shared" ref="AT131:AT151" si="77">ABS(AN131-$AM131)</f>
        <v>0.60999999999999988</v>
      </c>
      <c r="AU131" s="1">
        <f>ROUND(IF($B131="NSW",L131*Meta!$B$6,L131),1)</f>
        <v>5360.6</v>
      </c>
      <c r="AV131" s="3">
        <f t="shared" si="59"/>
        <v>104218.3</v>
      </c>
    </row>
    <row r="132" spans="1:48" x14ac:dyDescent="0.55000000000000004">
      <c r="A132" s="2" t="s">
        <v>133</v>
      </c>
      <c r="B132" s="3" t="s">
        <v>12</v>
      </c>
      <c r="C132" s="4">
        <v>23.16</v>
      </c>
      <c r="D132" s="5">
        <v>0</v>
      </c>
      <c r="E132" s="5">
        <v>59.93</v>
      </c>
      <c r="F132" s="5">
        <v>10.71</v>
      </c>
      <c r="G132" s="5">
        <v>6.2</v>
      </c>
      <c r="H132" s="5">
        <v>0</v>
      </c>
      <c r="I132" s="4">
        <v>69.48</v>
      </c>
      <c r="J132" s="3">
        <v>30.52</v>
      </c>
      <c r="K132" s="4">
        <v>106430</v>
      </c>
      <c r="L132" s="5">
        <v>5489</v>
      </c>
      <c r="M132" s="3">
        <f t="shared" si="60"/>
        <v>100941</v>
      </c>
      <c r="N132" s="5">
        <f t="shared" si="61"/>
        <v>5.1573804378464719E-2</v>
      </c>
      <c r="O132" s="4">
        <f>ROUND($C132+MIN($D132:$E132)*(1-SUMIFS(PrefFlows!$C:$C,PrefFlows!$A:$A,INDEX($D$1:$E$1,MATCH(MIN($D132:$E132),$D132:$E132,0)),PrefFlows!$B:$B,$B132)),2)</f>
        <v>23.16</v>
      </c>
      <c r="P132" s="5">
        <f>ROUND(MAX($D132:$E132)+MIN($D132:$E132)*SUMIFS(PrefFlows!$C:$C,PrefFlows!$A:$A,INDEX($D$1:$E$1,MATCH(MIN($D132:$E132),$D132:$E132,0)),PrefFlows!$B:$B,$B132),2)</f>
        <v>59.93</v>
      </c>
      <c r="Q132" s="5">
        <f t="shared" si="62"/>
        <v>10.71</v>
      </c>
      <c r="R132" s="5">
        <f t="shared" si="63"/>
        <v>6.2</v>
      </c>
      <c r="S132" s="3">
        <f t="shared" si="64"/>
        <v>0</v>
      </c>
      <c r="T132" s="6">
        <f t="shared" si="65"/>
        <v>36.770000000000003</v>
      </c>
      <c r="U132" s="4">
        <f>ROUND($Q132*SUMIFS(PrefFlows!$C:$C,PrefFlows!$A:$A,$Q$1,PrefFlows!$B:$B,$B132)+$R132*SUMIFS(PrefFlows!$C:$C,PrefFlows!$A:$A,$R$1,PrefFlows!$B:$B,$B132)+$S132*SUMIFS(PrefFlows!$C:$C,PrefFlows!$A:$A,$S$1,PrefFlows!$B:$B,$B132),2)</f>
        <v>8</v>
      </c>
      <c r="V132" s="3">
        <f>ROUND($Q132*(1-SUMIFS(PrefFlows!$C:$C,PrefFlows!$A:$A,$Q$1,PrefFlows!$B:$B,$B132))+$R132*(1-SUMIFS(PrefFlows!$C:$C,PrefFlows!$A:$A,$R$1,PrefFlows!$B:$B,$B132))+$S132*(1-SUMIFS(PrefFlows!$C:$C,PrefFlows!$A:$A,$S$1,PrefFlows!$B:$B,$B132)),2)</f>
        <v>8.91</v>
      </c>
      <c r="W132" s="4">
        <f t="shared" si="66"/>
        <v>9.5500000000000007</v>
      </c>
      <c r="X132" s="3">
        <f t="shared" si="67"/>
        <v>7.36</v>
      </c>
      <c r="Y132" s="4">
        <f t="shared" si="68"/>
        <v>0.47310000000000002</v>
      </c>
      <c r="Z132" s="5">
        <f t="shared" si="69"/>
        <v>0.56479999999999997</v>
      </c>
      <c r="AA132" s="5">
        <f t="shared" si="70"/>
        <v>9.1700000000000004E-2</v>
      </c>
      <c r="AB132" s="3">
        <v>2.6871167284724301E-2</v>
      </c>
      <c r="AC132" s="4">
        <f>ROUND(Q132*(1-(Exhaust!$B$2+AB132)),2)</f>
        <v>4.42</v>
      </c>
      <c r="AD132" s="5">
        <f>ROUND(R132*(1-(Exhaust!$B$3+$AB132)),2)</f>
        <v>3.55</v>
      </c>
      <c r="AE132" s="3">
        <f>ROUND(S132*(1-(Exhaust!$B$4+$AB132)),2)</f>
        <v>0</v>
      </c>
      <c r="AF132" s="4">
        <f>ROUND($AC132*(SUMIFS(PrefFlows!$C:$C,PrefFlows!$A:$A,$Q$1,PrefFlows!$B:$B,$B132)+$AA132)+$AD132*(SUMIFS(PrefFlows!$C:$C,PrefFlows!$A:$A,$R$1,PrefFlows!$B:$B,$B132)+$AA132)+$AE132*(SUMIFS(PrefFlows!$C:$C,PrefFlows!$A:$A,$S$1,PrefFlows!$B:$B,$B132)+$AA132),2)</f>
        <v>4.21</v>
      </c>
      <c r="AG132" s="3">
        <f>ROUND($AC132*(1-(SUMIFS(PrefFlows!$C:$C,PrefFlows!$A:$A,$Q$1,PrefFlows!$B:$B,$B132)+$AA132))+$AD132*(1-(SUMIFS(PrefFlows!$C:$C,PrefFlows!$A:$A,$R$1,PrefFlows!$B:$B,$B132)+$AA132))+$AE132*(1-(SUMIFS(PrefFlows!$C:$C,PrefFlows!$A:$A,$S$1,PrefFlows!$B:$B,$B132)+$AA132)),2)</f>
        <v>3.76</v>
      </c>
      <c r="AH132" s="4">
        <f t="shared" si="71"/>
        <v>64.14</v>
      </c>
      <c r="AI132" s="3">
        <f t="shared" si="72"/>
        <v>26.92</v>
      </c>
      <c r="AJ132" s="4">
        <f t="shared" si="73"/>
        <v>70.44</v>
      </c>
      <c r="AK132" s="3">
        <f t="shared" si="73"/>
        <v>29.56</v>
      </c>
      <c r="AL132" s="1">
        <f t="shared" si="56"/>
        <v>19.48</v>
      </c>
      <c r="AM132" s="1">
        <f t="shared" si="57"/>
        <v>20.63</v>
      </c>
      <c r="AN132" s="3">
        <f t="shared" si="58"/>
        <v>20.440000000000001</v>
      </c>
      <c r="AO132" s="1" t="b">
        <f t="shared" si="74"/>
        <v>0</v>
      </c>
      <c r="AP132" s="1" t="b">
        <f t="shared" si="74"/>
        <v>0</v>
      </c>
      <c r="AQ132" s="3" t="b">
        <f t="shared" si="75"/>
        <v>0</v>
      </c>
      <c r="AR132" s="1">
        <f t="shared" si="76"/>
        <v>1.1499999999999986</v>
      </c>
      <c r="AS132" s="1">
        <f t="shared" si="76"/>
        <v>0.96000000000000085</v>
      </c>
      <c r="AT132" s="3">
        <f t="shared" si="77"/>
        <v>0.18999999999999773</v>
      </c>
      <c r="AU132" s="1">
        <f>ROUND(IF($B132="NSW",L132*Meta!$B$6,L132),1)</f>
        <v>3650.2</v>
      </c>
      <c r="AV132" s="3">
        <f t="shared" si="59"/>
        <v>103595.5</v>
      </c>
    </row>
    <row r="133" spans="1:48" x14ac:dyDescent="0.55000000000000004">
      <c r="A133" s="2" t="s">
        <v>134</v>
      </c>
      <c r="B133" s="3" t="s">
        <v>12</v>
      </c>
      <c r="C133" s="4">
        <v>34.1</v>
      </c>
      <c r="D133" s="5">
        <v>46.86</v>
      </c>
      <c r="E133" s="5">
        <v>0</v>
      </c>
      <c r="F133" s="5">
        <v>2.81</v>
      </c>
      <c r="G133" s="5">
        <v>7.91</v>
      </c>
      <c r="H133" s="5">
        <v>8.31</v>
      </c>
      <c r="I133" s="4">
        <v>54.24</v>
      </c>
      <c r="J133" s="3">
        <v>45.76</v>
      </c>
      <c r="K133" s="4">
        <v>103554</v>
      </c>
      <c r="L133" s="5">
        <v>7493</v>
      </c>
      <c r="M133" s="3">
        <f t="shared" si="60"/>
        <v>96061</v>
      </c>
      <c r="N133" s="5">
        <f t="shared" si="61"/>
        <v>7.235838306584004E-2</v>
      </c>
      <c r="O133" s="4">
        <f>ROUND($C133+MIN($D133:$E133)*(1-SUMIFS(PrefFlows!$C:$C,PrefFlows!$A:$A,INDEX($D$1:$E$1,MATCH(MIN($D133:$E133),$D133:$E133,0)),PrefFlows!$B:$B,$B133)),2)</f>
        <v>34.1</v>
      </c>
      <c r="P133" s="5">
        <f>ROUND(MAX($D133:$E133)+MIN($D133:$E133)*SUMIFS(PrefFlows!$C:$C,PrefFlows!$A:$A,INDEX($D$1:$E$1,MATCH(MIN($D133:$E133),$D133:$E133,0)),PrefFlows!$B:$B,$B133),2)</f>
        <v>46.86</v>
      </c>
      <c r="Q133" s="5">
        <f t="shared" si="62"/>
        <v>2.81</v>
      </c>
      <c r="R133" s="5">
        <f t="shared" si="63"/>
        <v>7.91</v>
      </c>
      <c r="S133" s="3">
        <f t="shared" si="64"/>
        <v>8.31</v>
      </c>
      <c r="T133" s="6">
        <f t="shared" si="65"/>
        <v>12.76</v>
      </c>
      <c r="U133" s="4">
        <f>ROUND($Q133*SUMIFS(PrefFlows!$C:$C,PrefFlows!$A:$A,$Q$1,PrefFlows!$B:$B,$B133)+$R133*SUMIFS(PrefFlows!$C:$C,PrefFlows!$A:$A,$R$1,PrefFlows!$B:$B,$B133)+$S133*SUMIFS(PrefFlows!$C:$C,PrefFlows!$A:$A,$S$1,PrefFlows!$B:$B,$B133),2)</f>
        <v>7.56</v>
      </c>
      <c r="V133" s="3">
        <f>ROUND($Q133*(1-SUMIFS(PrefFlows!$C:$C,PrefFlows!$A:$A,$Q$1,PrefFlows!$B:$B,$B133))+$R133*(1-SUMIFS(PrefFlows!$C:$C,PrefFlows!$A:$A,$R$1,PrefFlows!$B:$B,$B133))+$S133*(1-SUMIFS(PrefFlows!$C:$C,PrefFlows!$A:$A,$S$1,PrefFlows!$B:$B,$B133)),2)</f>
        <v>11.47</v>
      </c>
      <c r="W133" s="4">
        <f t="shared" si="66"/>
        <v>7.38</v>
      </c>
      <c r="X133" s="3">
        <f t="shared" si="67"/>
        <v>11.66</v>
      </c>
      <c r="Y133" s="4">
        <f t="shared" si="68"/>
        <v>0.39729999999999999</v>
      </c>
      <c r="Z133" s="5">
        <f t="shared" si="69"/>
        <v>0.3876</v>
      </c>
      <c r="AA133" s="5">
        <f t="shared" si="70"/>
        <v>-9.7000000000000003E-3</v>
      </c>
      <c r="AB133" s="3">
        <v>3.9872425516384201E-3</v>
      </c>
      <c r="AC133" s="4">
        <f>ROUND(Q133*(1-(Exhaust!$B$2+AB133)),2)</f>
        <v>1.23</v>
      </c>
      <c r="AD133" s="5">
        <f>ROUND(R133*(1-(Exhaust!$B$3+$AB133)),2)</f>
        <v>4.71</v>
      </c>
      <c r="AE133" s="3">
        <f>ROUND(S133*(1-(Exhaust!$B$4+$AB133)),2)</f>
        <v>4.12</v>
      </c>
      <c r="AF133" s="4">
        <f>ROUND($AC133*(SUMIFS(PrefFlows!$C:$C,PrefFlows!$A:$A,$Q$1,PrefFlows!$B:$B,$B133)+$AA133)+$AD133*(SUMIFS(PrefFlows!$C:$C,PrefFlows!$A:$A,$R$1,PrefFlows!$B:$B,$B133)+$AA133)+$AE133*(SUMIFS(PrefFlows!$C:$C,PrefFlows!$A:$A,$S$1,PrefFlows!$B:$B,$B133)+$AA133),2)</f>
        <v>3.68</v>
      </c>
      <c r="AG133" s="3">
        <f>ROUND($AC133*(1-(SUMIFS(PrefFlows!$C:$C,PrefFlows!$A:$A,$Q$1,PrefFlows!$B:$B,$B133)+$AA133))+$AD133*(1-(SUMIFS(PrefFlows!$C:$C,PrefFlows!$A:$A,$R$1,PrefFlows!$B:$B,$B133)+$AA133))+$AE133*(1-(SUMIFS(PrefFlows!$C:$C,PrefFlows!$A:$A,$S$1,PrefFlows!$B:$B,$B133)+$AA133)),2)</f>
        <v>6.38</v>
      </c>
      <c r="AH133" s="4">
        <f t="shared" si="71"/>
        <v>50.54</v>
      </c>
      <c r="AI133" s="3">
        <f t="shared" si="72"/>
        <v>40.479999999999997</v>
      </c>
      <c r="AJ133" s="4">
        <f t="shared" si="73"/>
        <v>55.53</v>
      </c>
      <c r="AK133" s="3">
        <f t="shared" si="73"/>
        <v>44.47</v>
      </c>
      <c r="AL133" s="1">
        <f t="shared" si="56"/>
        <v>4.24</v>
      </c>
      <c r="AM133" s="1">
        <f t="shared" si="57"/>
        <v>5.8</v>
      </c>
      <c r="AN133" s="3">
        <f t="shared" si="58"/>
        <v>5.53</v>
      </c>
      <c r="AO133" s="1" t="b">
        <f t="shared" si="74"/>
        <v>0</v>
      </c>
      <c r="AP133" s="1" t="b">
        <f t="shared" si="74"/>
        <v>0</v>
      </c>
      <c r="AQ133" s="3" t="b">
        <f t="shared" si="75"/>
        <v>0</v>
      </c>
      <c r="AR133" s="1">
        <f t="shared" si="76"/>
        <v>1.5599999999999996</v>
      </c>
      <c r="AS133" s="1">
        <f t="shared" si="76"/>
        <v>1.29</v>
      </c>
      <c r="AT133" s="3">
        <f t="shared" si="77"/>
        <v>0.26999999999999957</v>
      </c>
      <c r="AU133" s="1">
        <f>ROUND(IF($B133="NSW",L133*Meta!$B$6,L133),1)</f>
        <v>4982.8</v>
      </c>
      <c r="AV133" s="3">
        <f t="shared" si="59"/>
        <v>99684.7</v>
      </c>
    </row>
    <row r="134" spans="1:48" x14ac:dyDescent="0.55000000000000004">
      <c r="A134" s="2" t="s">
        <v>135</v>
      </c>
      <c r="B134" s="3" t="s">
        <v>21</v>
      </c>
      <c r="C134" s="4">
        <v>24.43</v>
      </c>
      <c r="D134" s="5">
        <v>48.61</v>
      </c>
      <c r="E134" s="5">
        <v>0</v>
      </c>
      <c r="F134" s="5">
        <v>3.69</v>
      </c>
      <c r="G134" s="5">
        <v>20.350000000000001</v>
      </c>
      <c r="H134" s="5">
        <v>2.92</v>
      </c>
      <c r="I134" s="4">
        <v>56.03</v>
      </c>
      <c r="J134" s="3">
        <v>43.97</v>
      </c>
      <c r="K134" s="4">
        <v>98795</v>
      </c>
      <c r="L134" s="5">
        <v>2369</v>
      </c>
      <c r="M134" s="3">
        <f t="shared" si="60"/>
        <v>96426</v>
      </c>
      <c r="N134" s="5">
        <f t="shared" si="61"/>
        <v>2.3978946302950555E-2</v>
      </c>
      <c r="O134" s="4">
        <f>ROUND($C134+MIN($D134:$E134)*(1-SUMIFS(PrefFlows!$C:$C,PrefFlows!$A:$A,INDEX($D$1:$E$1,MATCH(MIN($D134:$E134),$D134:$E134,0)),PrefFlows!$B:$B,$B134)),2)</f>
        <v>24.43</v>
      </c>
      <c r="P134" s="5">
        <f>ROUND(MAX($D134:$E134)+MIN($D134:$E134)*SUMIFS(PrefFlows!$C:$C,PrefFlows!$A:$A,INDEX($D$1:$E$1,MATCH(MIN($D134:$E134),$D134:$E134,0)),PrefFlows!$B:$B,$B134),2)</f>
        <v>48.61</v>
      </c>
      <c r="Q134" s="5">
        <f t="shared" si="62"/>
        <v>3.69</v>
      </c>
      <c r="R134" s="5">
        <f t="shared" si="63"/>
        <v>20.350000000000001</v>
      </c>
      <c r="S134" s="3">
        <f t="shared" si="64"/>
        <v>2.92</v>
      </c>
      <c r="T134" s="6">
        <f t="shared" si="65"/>
        <v>24.18</v>
      </c>
      <c r="U134" s="4">
        <f>ROUND($Q134*SUMIFS(PrefFlows!$C:$C,PrefFlows!$A:$A,$Q$1,PrefFlows!$B:$B,$B134)+$R134*SUMIFS(PrefFlows!$C:$C,PrefFlows!$A:$A,$R$1,PrefFlows!$B:$B,$B134)+$S134*SUMIFS(PrefFlows!$C:$C,PrefFlows!$A:$A,$S$1,PrefFlows!$B:$B,$B134),2)</f>
        <v>8.1300000000000008</v>
      </c>
      <c r="V134" s="3">
        <f>ROUND($Q134*(1-SUMIFS(PrefFlows!$C:$C,PrefFlows!$A:$A,$Q$1,PrefFlows!$B:$B,$B134))+$R134*(1-SUMIFS(PrefFlows!$C:$C,PrefFlows!$A:$A,$R$1,PrefFlows!$B:$B,$B134))+$S134*(1-SUMIFS(PrefFlows!$C:$C,PrefFlows!$A:$A,$S$1,PrefFlows!$B:$B,$B134)),2)</f>
        <v>18.829999999999998</v>
      </c>
      <c r="W134" s="4">
        <f t="shared" si="66"/>
        <v>7.42</v>
      </c>
      <c r="X134" s="3">
        <f t="shared" si="67"/>
        <v>19.54</v>
      </c>
      <c r="Y134" s="4">
        <f t="shared" si="68"/>
        <v>0.30159999999999998</v>
      </c>
      <c r="Z134" s="5">
        <f t="shared" si="69"/>
        <v>0.2752</v>
      </c>
      <c r="AA134" s="5">
        <f t="shared" si="70"/>
        <v>-2.64E-2</v>
      </c>
      <c r="AB134" s="3">
        <v>-3.2111720317794003E-2</v>
      </c>
      <c r="AC134" s="4">
        <f>ROUND(Q134*(1-(Exhaust!$B$2+AB134)),2)</f>
        <v>1.74</v>
      </c>
      <c r="AD134" s="5">
        <f>ROUND(R134*(1-(Exhaust!$B$3+$AB134)),2)</f>
        <v>12.86</v>
      </c>
      <c r="AE134" s="3">
        <f>ROUND(S134*(1-(Exhaust!$B$4+$AB134)),2)</f>
        <v>1.55</v>
      </c>
      <c r="AF134" s="4">
        <f>ROUND($AC134*(SUMIFS(PrefFlows!$C:$C,PrefFlows!$A:$A,$Q$1,PrefFlows!$B:$B,$B134)+$AA134)+$AD134*(SUMIFS(PrefFlows!$C:$C,PrefFlows!$A:$A,$R$1,PrefFlows!$B:$B,$B134)+$AA134)+$AE134*(SUMIFS(PrefFlows!$C:$C,PrefFlows!$A:$A,$S$1,PrefFlows!$B:$B,$B134)+$AA134),2)</f>
        <v>4.16</v>
      </c>
      <c r="AG134" s="3">
        <f>ROUND($AC134*(1-(SUMIFS(PrefFlows!$C:$C,PrefFlows!$A:$A,$Q$1,PrefFlows!$B:$B,$B134)+$AA134))+$AD134*(1-(SUMIFS(PrefFlows!$C:$C,PrefFlows!$A:$A,$R$1,PrefFlows!$B:$B,$B134)+$AA134))+$AE134*(1-(SUMIFS(PrefFlows!$C:$C,PrefFlows!$A:$A,$S$1,PrefFlows!$B:$B,$B134)+$AA134)),2)</f>
        <v>11.99</v>
      </c>
      <c r="AH134" s="4">
        <f t="shared" si="71"/>
        <v>52.77</v>
      </c>
      <c r="AI134" s="3">
        <f t="shared" si="72"/>
        <v>36.42</v>
      </c>
      <c r="AJ134" s="4">
        <f t="shared" si="73"/>
        <v>59.17</v>
      </c>
      <c r="AK134" s="3">
        <f t="shared" si="73"/>
        <v>40.83</v>
      </c>
      <c r="AL134" s="1">
        <f t="shared" si="56"/>
        <v>6.03</v>
      </c>
      <c r="AM134" s="1">
        <f t="shared" si="57"/>
        <v>10.27</v>
      </c>
      <c r="AN134" s="3">
        <f t="shared" si="58"/>
        <v>9.17</v>
      </c>
      <c r="AO134" s="1" t="b">
        <f t="shared" si="74"/>
        <v>0</v>
      </c>
      <c r="AP134" s="1" t="b">
        <f t="shared" si="74"/>
        <v>0</v>
      </c>
      <c r="AQ134" s="3" t="b">
        <f t="shared" si="75"/>
        <v>0</v>
      </c>
      <c r="AR134" s="1">
        <f t="shared" si="76"/>
        <v>4.2399999999999993</v>
      </c>
      <c r="AS134" s="1">
        <f t="shared" si="76"/>
        <v>3.1399999999999997</v>
      </c>
      <c r="AT134" s="3">
        <f t="shared" si="77"/>
        <v>1.0999999999999996</v>
      </c>
      <c r="AU134" s="1">
        <f>ROUND(IF($B134="NSW",L134*Meta!$B$6,L134),1)</f>
        <v>2369</v>
      </c>
      <c r="AV134" s="3">
        <f t="shared" si="59"/>
        <v>96955.4</v>
      </c>
    </row>
    <row r="135" spans="1:48" x14ac:dyDescent="0.55000000000000004">
      <c r="A135" s="2" t="s">
        <v>136</v>
      </c>
      <c r="B135" s="3" t="s">
        <v>9</v>
      </c>
      <c r="C135" s="4">
        <v>60.42</v>
      </c>
      <c r="D135" s="5">
        <v>22.31</v>
      </c>
      <c r="E135" s="5">
        <v>0</v>
      </c>
      <c r="F135" s="5">
        <v>5.04</v>
      </c>
      <c r="G135" s="5">
        <v>6.67</v>
      </c>
      <c r="H135" s="5">
        <v>5.56</v>
      </c>
      <c r="I135" s="4">
        <v>28.34</v>
      </c>
      <c r="J135" s="3">
        <v>71.66</v>
      </c>
      <c r="K135" s="4">
        <v>96864</v>
      </c>
      <c r="L135" s="5">
        <v>5055</v>
      </c>
      <c r="M135" s="3">
        <f t="shared" si="60"/>
        <v>91809</v>
      </c>
      <c r="N135" s="5">
        <f t="shared" si="61"/>
        <v>5.2186570862239844E-2</v>
      </c>
      <c r="O135" s="4">
        <f>ROUND($C135+MIN($D135:$E135)*(1-SUMIFS(PrefFlows!$C:$C,PrefFlows!$A:$A,INDEX($D$1:$E$1,MATCH(MIN($D135:$E135),$D135:$E135,0)),PrefFlows!$B:$B,$B135)),2)</f>
        <v>60.42</v>
      </c>
      <c r="P135" s="5">
        <f>ROUND(MAX($D135:$E135)+MIN($D135:$E135)*SUMIFS(PrefFlows!$C:$C,PrefFlows!$A:$A,INDEX($D$1:$E$1,MATCH(MIN($D135:$E135),$D135:$E135,0)),PrefFlows!$B:$B,$B135),2)</f>
        <v>22.31</v>
      </c>
      <c r="Q135" s="5">
        <f t="shared" si="62"/>
        <v>5.04</v>
      </c>
      <c r="R135" s="5">
        <f t="shared" si="63"/>
        <v>6.67</v>
      </c>
      <c r="S135" s="3">
        <f t="shared" si="64"/>
        <v>5.56</v>
      </c>
      <c r="T135" s="6">
        <f t="shared" si="65"/>
        <v>-38.11</v>
      </c>
      <c r="U135" s="4">
        <f>ROUND($Q135*SUMIFS(PrefFlows!$C:$C,PrefFlows!$A:$A,$Q$1,PrefFlows!$B:$B,$B135)+$R135*SUMIFS(PrefFlows!$C:$C,PrefFlows!$A:$A,$R$1,PrefFlows!$B:$B,$B135)+$S135*SUMIFS(PrefFlows!$C:$C,PrefFlows!$A:$A,$S$1,PrefFlows!$B:$B,$B135),2)</f>
        <v>7.28</v>
      </c>
      <c r="V135" s="3">
        <f>ROUND($Q135*(1-SUMIFS(PrefFlows!$C:$C,PrefFlows!$A:$A,$Q$1,PrefFlows!$B:$B,$B135))+$R135*(1-SUMIFS(PrefFlows!$C:$C,PrefFlows!$A:$A,$R$1,PrefFlows!$B:$B,$B135))+$S135*(1-SUMIFS(PrefFlows!$C:$C,PrefFlows!$A:$A,$S$1,PrefFlows!$B:$B,$B135)),2)</f>
        <v>9.99</v>
      </c>
      <c r="W135" s="4">
        <f t="shared" si="66"/>
        <v>6.03</v>
      </c>
      <c r="X135" s="3">
        <f t="shared" si="67"/>
        <v>11.24</v>
      </c>
      <c r="Y135" s="4">
        <f t="shared" si="68"/>
        <v>0.42149999999999999</v>
      </c>
      <c r="Z135" s="5">
        <f t="shared" si="69"/>
        <v>0.34920000000000001</v>
      </c>
      <c r="AA135" s="5">
        <f t="shared" si="70"/>
        <v>-7.2300000000000003E-2</v>
      </c>
      <c r="AB135" s="3">
        <v>6.7550669605138697E-2</v>
      </c>
      <c r="AC135" s="4">
        <f>ROUND(Q135*(1-(Exhaust!$B$2+AB135)),2)</f>
        <v>1.88</v>
      </c>
      <c r="AD135" s="5">
        <f>ROUND(R135*(1-(Exhaust!$B$3+$AB135)),2)</f>
        <v>3.55</v>
      </c>
      <c r="AE135" s="3">
        <f>ROUND(S135*(1-(Exhaust!$B$4+$AB135)),2)</f>
        <v>2.4</v>
      </c>
      <c r="AF135" s="4">
        <f>ROUND($AC135*(SUMIFS(PrefFlows!$C:$C,PrefFlows!$A:$A,$Q$1,PrefFlows!$B:$B,$B135)+$AA135)+$AD135*(SUMIFS(PrefFlows!$C:$C,PrefFlows!$A:$A,$R$1,PrefFlows!$B:$B,$B135)+$AA135)+$AE135*(SUMIFS(PrefFlows!$C:$C,PrefFlows!$A:$A,$S$1,PrefFlows!$B:$B,$B135)+$AA135),2)</f>
        <v>2.4900000000000002</v>
      </c>
      <c r="AG135" s="3">
        <f>ROUND($AC135*(1-(SUMIFS(PrefFlows!$C:$C,PrefFlows!$A:$A,$Q$1,PrefFlows!$B:$B,$B135)+$AA135))+$AD135*(1-(SUMIFS(PrefFlows!$C:$C,PrefFlows!$A:$A,$R$1,PrefFlows!$B:$B,$B135)+$AA135))+$AE135*(1-(SUMIFS(PrefFlows!$C:$C,PrefFlows!$A:$A,$S$1,PrefFlows!$B:$B,$B135)+$AA135)),2)</f>
        <v>5.34</v>
      </c>
      <c r="AH135" s="4">
        <f t="shared" si="71"/>
        <v>24.8</v>
      </c>
      <c r="AI135" s="3">
        <f t="shared" si="72"/>
        <v>65.760000000000005</v>
      </c>
      <c r="AJ135" s="4">
        <f t="shared" si="73"/>
        <v>27.39</v>
      </c>
      <c r="AK135" s="3">
        <f t="shared" si="73"/>
        <v>72.61</v>
      </c>
      <c r="AL135" s="1">
        <f t="shared" si="56"/>
        <v>-21.66</v>
      </c>
      <c r="AM135" s="1">
        <f t="shared" si="57"/>
        <v>-22.25</v>
      </c>
      <c r="AN135" s="3">
        <f t="shared" si="58"/>
        <v>-22.61</v>
      </c>
      <c r="AO135" s="1" t="b">
        <f t="shared" si="74"/>
        <v>0</v>
      </c>
      <c r="AP135" s="1" t="b">
        <f t="shared" si="74"/>
        <v>0</v>
      </c>
      <c r="AQ135" s="3" t="b">
        <f t="shared" si="75"/>
        <v>0</v>
      </c>
      <c r="AR135" s="1">
        <f t="shared" si="76"/>
        <v>-0.58999999999999986</v>
      </c>
      <c r="AS135" s="1">
        <f t="shared" si="76"/>
        <v>-0.94999999999999929</v>
      </c>
      <c r="AT135" s="3">
        <f t="shared" si="77"/>
        <v>0.35999999999999943</v>
      </c>
      <c r="AU135" s="1">
        <f>ROUND(IF($B135="NSW",L135*Meta!$B$6,L135),1)</f>
        <v>5055</v>
      </c>
      <c r="AV135" s="3">
        <f t="shared" si="59"/>
        <v>92938.6</v>
      </c>
    </row>
    <row r="136" spans="1:48" x14ac:dyDescent="0.55000000000000004">
      <c r="A136" s="2" t="s">
        <v>137</v>
      </c>
      <c r="B136" s="3" t="s">
        <v>12</v>
      </c>
      <c r="C136" s="4">
        <v>41.13</v>
      </c>
      <c r="D136" s="5">
        <v>37.369999999999997</v>
      </c>
      <c r="E136" s="5">
        <v>0</v>
      </c>
      <c r="F136" s="5">
        <v>4.53</v>
      </c>
      <c r="G136" s="5">
        <v>8.26</v>
      </c>
      <c r="H136" s="5">
        <v>8.6999999999999993</v>
      </c>
      <c r="I136" s="4">
        <v>45.55</v>
      </c>
      <c r="J136" s="3">
        <v>54.45</v>
      </c>
      <c r="K136" s="4">
        <v>106827</v>
      </c>
      <c r="L136" s="5">
        <v>6847</v>
      </c>
      <c r="M136" s="3">
        <f t="shared" si="60"/>
        <v>99980</v>
      </c>
      <c r="N136" s="5">
        <f t="shared" si="61"/>
        <v>6.4094283280444087E-2</v>
      </c>
      <c r="O136" s="4">
        <f>ROUND($C136+MIN($D136:$E136)*(1-SUMIFS(PrefFlows!$C:$C,PrefFlows!$A:$A,INDEX($D$1:$E$1,MATCH(MIN($D136:$E136),$D136:$E136,0)),PrefFlows!$B:$B,$B136)),2)</f>
        <v>41.13</v>
      </c>
      <c r="P136" s="5">
        <f>ROUND(MAX($D136:$E136)+MIN($D136:$E136)*SUMIFS(PrefFlows!$C:$C,PrefFlows!$A:$A,INDEX($D$1:$E$1,MATCH(MIN($D136:$E136),$D136:$E136,0)),PrefFlows!$B:$B,$B136),2)</f>
        <v>37.369999999999997</v>
      </c>
      <c r="Q136" s="5">
        <f t="shared" si="62"/>
        <v>4.53</v>
      </c>
      <c r="R136" s="5">
        <f t="shared" si="63"/>
        <v>8.26</v>
      </c>
      <c r="S136" s="3">
        <f t="shared" si="64"/>
        <v>8.6999999999999993</v>
      </c>
      <c r="T136" s="6">
        <f t="shared" si="65"/>
        <v>-3.76</v>
      </c>
      <c r="U136" s="4">
        <f>ROUND($Q136*SUMIFS(PrefFlows!$C:$C,PrefFlows!$A:$A,$Q$1,PrefFlows!$B:$B,$B136)+$R136*SUMIFS(PrefFlows!$C:$C,PrefFlows!$A:$A,$R$1,PrefFlows!$B:$B,$B136)+$S136*SUMIFS(PrefFlows!$C:$C,PrefFlows!$A:$A,$S$1,PrefFlows!$B:$B,$B136),2)</f>
        <v>8.93</v>
      </c>
      <c r="V136" s="3">
        <f>ROUND($Q136*(1-SUMIFS(PrefFlows!$C:$C,PrefFlows!$A:$A,$Q$1,PrefFlows!$B:$B,$B136))+$R136*(1-SUMIFS(PrefFlows!$C:$C,PrefFlows!$A:$A,$R$1,PrefFlows!$B:$B,$B136))+$S136*(1-SUMIFS(PrefFlows!$C:$C,PrefFlows!$A:$A,$S$1,PrefFlows!$B:$B,$B136)),2)</f>
        <v>12.56</v>
      </c>
      <c r="W136" s="4">
        <f t="shared" si="66"/>
        <v>8.18</v>
      </c>
      <c r="X136" s="3">
        <f t="shared" si="67"/>
        <v>13.32</v>
      </c>
      <c r="Y136" s="4">
        <f t="shared" si="68"/>
        <v>0.41549999999999998</v>
      </c>
      <c r="Z136" s="5">
        <f t="shared" si="69"/>
        <v>0.3805</v>
      </c>
      <c r="AA136" s="5">
        <f t="shared" si="70"/>
        <v>-3.5000000000000003E-2</v>
      </c>
      <c r="AB136" s="3">
        <v>2.4993453547766699E-2</v>
      </c>
      <c r="AC136" s="4">
        <f>ROUND(Q136*(1-(Exhaust!$B$2+AB136)),2)</f>
        <v>1.88</v>
      </c>
      <c r="AD136" s="5">
        <f>ROUND(R136*(1-(Exhaust!$B$3+$AB136)),2)</f>
        <v>4.75</v>
      </c>
      <c r="AE136" s="3">
        <f>ROUND(S136*(1-(Exhaust!$B$4+$AB136)),2)</f>
        <v>4.13</v>
      </c>
      <c r="AF136" s="4">
        <f>ROUND($AC136*(SUMIFS(PrefFlows!$C:$C,PrefFlows!$A:$A,$Q$1,PrefFlows!$B:$B,$B136)+$AA136)+$AD136*(SUMIFS(PrefFlows!$C:$C,PrefFlows!$A:$A,$R$1,PrefFlows!$B:$B,$B136)+$AA136)+$AE136*(SUMIFS(PrefFlows!$C:$C,PrefFlows!$A:$A,$S$1,PrefFlows!$B:$B,$B136)+$AA136),2)</f>
        <v>3.84</v>
      </c>
      <c r="AG136" s="3">
        <f>ROUND($AC136*(1-(SUMIFS(PrefFlows!$C:$C,PrefFlows!$A:$A,$Q$1,PrefFlows!$B:$B,$B136)+$AA136))+$AD136*(1-(SUMIFS(PrefFlows!$C:$C,PrefFlows!$A:$A,$R$1,PrefFlows!$B:$B,$B136)+$AA136))+$AE136*(1-(SUMIFS(PrefFlows!$C:$C,PrefFlows!$A:$A,$S$1,PrefFlows!$B:$B,$B136)+$AA136)),2)</f>
        <v>6.92</v>
      </c>
      <c r="AH136" s="4">
        <f t="shared" si="71"/>
        <v>41.21</v>
      </c>
      <c r="AI136" s="3">
        <f t="shared" si="72"/>
        <v>48.05</v>
      </c>
      <c r="AJ136" s="4">
        <f t="shared" si="73"/>
        <v>46.17</v>
      </c>
      <c r="AK136" s="3">
        <f t="shared" si="73"/>
        <v>53.83</v>
      </c>
      <c r="AL136" s="1">
        <f t="shared" si="56"/>
        <v>-4.45</v>
      </c>
      <c r="AM136" s="1">
        <f t="shared" si="57"/>
        <v>-3.59</v>
      </c>
      <c r="AN136" s="3">
        <f t="shared" si="58"/>
        <v>-3.83</v>
      </c>
      <c r="AO136" s="1" t="b">
        <f t="shared" si="74"/>
        <v>0</v>
      </c>
      <c r="AP136" s="1" t="b">
        <f t="shared" si="74"/>
        <v>0</v>
      </c>
      <c r="AQ136" s="3" t="b">
        <f t="shared" si="75"/>
        <v>0</v>
      </c>
      <c r="AR136" s="1">
        <f t="shared" si="76"/>
        <v>0.86000000000000032</v>
      </c>
      <c r="AS136" s="1">
        <f t="shared" si="76"/>
        <v>0.62000000000000011</v>
      </c>
      <c r="AT136" s="3">
        <f t="shared" si="77"/>
        <v>0.24000000000000021</v>
      </c>
      <c r="AU136" s="1">
        <f>ROUND(IF($B136="NSW",L136*Meta!$B$6,L136),1)</f>
        <v>4553.3</v>
      </c>
      <c r="AV136" s="3">
        <f t="shared" si="59"/>
        <v>103291.2</v>
      </c>
    </row>
    <row r="137" spans="1:48" x14ac:dyDescent="0.55000000000000004">
      <c r="A137" s="2" t="s">
        <v>138</v>
      </c>
      <c r="B137" s="3" t="s">
        <v>98</v>
      </c>
      <c r="C137" s="4">
        <v>40.04</v>
      </c>
      <c r="D137" s="5">
        <v>38.049999999999997</v>
      </c>
      <c r="E137" s="5">
        <v>0</v>
      </c>
      <c r="F137" s="5">
        <v>2.87</v>
      </c>
      <c r="G137" s="5">
        <v>11.84</v>
      </c>
      <c r="H137" s="5">
        <v>7.19</v>
      </c>
      <c r="I137" s="4">
        <v>46.92</v>
      </c>
      <c r="J137" s="3">
        <v>53.08</v>
      </c>
      <c r="K137" s="4">
        <v>57602</v>
      </c>
      <c r="L137" s="5">
        <v>2518</v>
      </c>
      <c r="M137" s="3">
        <f t="shared" si="60"/>
        <v>55084</v>
      </c>
      <c r="N137" s="5">
        <f t="shared" si="61"/>
        <v>4.3713759938891011E-2</v>
      </c>
      <c r="O137" s="4">
        <f>ROUND($C137+MIN($D137:$E137)*(1-SUMIFS(PrefFlows!$C:$C,PrefFlows!$A:$A,INDEX($D$1:$E$1,MATCH(MIN($D137:$E137),$D137:$E137,0)),PrefFlows!$B:$B,$B137)),2)</f>
        <v>40.04</v>
      </c>
      <c r="P137" s="5">
        <f>ROUND(MAX($D137:$E137)+MIN($D137:$E137)*SUMIFS(PrefFlows!$C:$C,PrefFlows!$A:$A,INDEX($D$1:$E$1,MATCH(MIN($D137:$E137),$D137:$E137,0)),PrefFlows!$B:$B,$B137),2)</f>
        <v>38.049999999999997</v>
      </c>
      <c r="Q137" s="5">
        <f t="shared" si="62"/>
        <v>2.87</v>
      </c>
      <c r="R137" s="5">
        <f t="shared" si="63"/>
        <v>11.84</v>
      </c>
      <c r="S137" s="3">
        <f t="shared" si="64"/>
        <v>7.19</v>
      </c>
      <c r="T137" s="6">
        <f t="shared" si="65"/>
        <v>-1.99</v>
      </c>
      <c r="U137" s="4">
        <f>ROUND($Q137*SUMIFS(PrefFlows!$C:$C,PrefFlows!$A:$A,$Q$1,PrefFlows!$B:$B,$B137)+$R137*SUMIFS(PrefFlows!$C:$C,PrefFlows!$A:$A,$R$1,PrefFlows!$B:$B,$B137)+$S137*SUMIFS(PrefFlows!$C:$C,PrefFlows!$A:$A,$S$1,PrefFlows!$B:$B,$B137),2)</f>
        <v>8.16</v>
      </c>
      <c r="V137" s="3">
        <f>ROUND($Q137*(1-SUMIFS(PrefFlows!$C:$C,PrefFlows!$A:$A,$Q$1,PrefFlows!$B:$B,$B137))+$R137*(1-SUMIFS(PrefFlows!$C:$C,PrefFlows!$A:$A,$R$1,PrefFlows!$B:$B,$B137))+$S137*(1-SUMIFS(PrefFlows!$C:$C,PrefFlows!$A:$A,$S$1,PrefFlows!$B:$B,$B137)),2)</f>
        <v>13.74</v>
      </c>
      <c r="W137" s="4">
        <f t="shared" si="66"/>
        <v>8.8699999999999992</v>
      </c>
      <c r="X137" s="3">
        <f t="shared" si="67"/>
        <v>13.04</v>
      </c>
      <c r="Y137" s="4">
        <f t="shared" si="68"/>
        <v>0.37259999999999999</v>
      </c>
      <c r="Z137" s="5">
        <f t="shared" si="69"/>
        <v>0.40479999999999999</v>
      </c>
      <c r="AA137" s="5">
        <f t="shared" si="70"/>
        <v>3.2199999999999999E-2</v>
      </c>
      <c r="AB137" s="3">
        <v>-1.4176909638839601E-2</v>
      </c>
      <c r="AC137" s="4">
        <f>ROUND(Q137*(1-(Exhaust!$B$2+AB137)),2)</f>
        <v>1.3</v>
      </c>
      <c r="AD137" s="5">
        <f>ROUND(R137*(1-(Exhaust!$B$3+$AB137)),2)</f>
        <v>7.27</v>
      </c>
      <c r="AE137" s="3">
        <f>ROUND(S137*(1-(Exhaust!$B$4+$AB137)),2)</f>
        <v>3.7</v>
      </c>
      <c r="AF137" s="4">
        <f>ROUND($AC137*(SUMIFS(PrefFlows!$C:$C,PrefFlows!$A:$A,$Q$1,PrefFlows!$B:$B,$B137)+$AA137)+$AD137*(SUMIFS(PrefFlows!$C:$C,PrefFlows!$A:$A,$R$1,PrefFlows!$B:$B,$B137)+$AA137)+$AE137*(SUMIFS(PrefFlows!$C:$C,PrefFlows!$A:$A,$S$1,PrefFlows!$B:$B,$B137)+$AA137),2)</f>
        <v>4.71</v>
      </c>
      <c r="AG137" s="3">
        <f>ROUND($AC137*(1-(SUMIFS(PrefFlows!$C:$C,PrefFlows!$A:$A,$Q$1,PrefFlows!$B:$B,$B137)+$AA137))+$AD137*(1-(SUMIFS(PrefFlows!$C:$C,PrefFlows!$A:$A,$R$1,PrefFlows!$B:$B,$B137)+$AA137))+$AE137*(1-(SUMIFS(PrefFlows!$C:$C,PrefFlows!$A:$A,$S$1,PrefFlows!$B:$B,$B137)+$AA137)),2)</f>
        <v>7.56</v>
      </c>
      <c r="AH137" s="4">
        <f t="shared" si="71"/>
        <v>42.76</v>
      </c>
      <c r="AI137" s="3">
        <f t="shared" si="72"/>
        <v>47.6</v>
      </c>
      <c r="AJ137" s="4">
        <f t="shared" si="73"/>
        <v>47.32</v>
      </c>
      <c r="AK137" s="3">
        <f t="shared" si="73"/>
        <v>52.68</v>
      </c>
      <c r="AL137" s="1">
        <f t="shared" si="56"/>
        <v>-3.08</v>
      </c>
      <c r="AM137" s="1">
        <f t="shared" si="57"/>
        <v>-2.3199999999999998</v>
      </c>
      <c r="AN137" s="3">
        <f t="shared" si="58"/>
        <v>-2.68</v>
      </c>
      <c r="AO137" s="1" t="b">
        <f t="shared" si="74"/>
        <v>0</v>
      </c>
      <c r="AP137" s="1" t="b">
        <f t="shared" si="74"/>
        <v>0</v>
      </c>
      <c r="AQ137" s="3" t="b">
        <f t="shared" si="75"/>
        <v>0</v>
      </c>
      <c r="AR137" s="1">
        <f t="shared" si="76"/>
        <v>0.76000000000000023</v>
      </c>
      <c r="AS137" s="1">
        <f t="shared" si="76"/>
        <v>0.39999999999999991</v>
      </c>
      <c r="AT137" s="3">
        <f t="shared" si="77"/>
        <v>0.36000000000000032</v>
      </c>
      <c r="AU137" s="1">
        <f>ROUND(IF($B137="NSW",L137*Meta!$B$6,L137),1)</f>
        <v>2518</v>
      </c>
      <c r="AV137" s="3">
        <f t="shared" si="59"/>
        <v>55646.7</v>
      </c>
    </row>
    <row r="138" spans="1:48" x14ac:dyDescent="0.55000000000000004">
      <c r="A138" s="2" t="s">
        <v>209</v>
      </c>
      <c r="B138" s="3" t="s">
        <v>7</v>
      </c>
      <c r="C138" s="4">
        <v>50.96</v>
      </c>
      <c r="D138" s="5">
        <v>25.83</v>
      </c>
      <c r="E138" s="5">
        <v>0</v>
      </c>
      <c r="F138" s="5">
        <v>7.04</v>
      </c>
      <c r="G138" s="5">
        <v>7.21</v>
      </c>
      <c r="H138" s="5">
        <v>8.9499999999999993</v>
      </c>
      <c r="I138" s="4">
        <v>35.869999999999997</v>
      </c>
      <c r="J138" s="3">
        <v>64.13</v>
      </c>
      <c r="K138" s="4">
        <v>108096</v>
      </c>
      <c r="L138" s="5">
        <v>6467</v>
      </c>
      <c r="M138" s="3">
        <f t="shared" si="60"/>
        <v>101629</v>
      </c>
      <c r="N138" s="5">
        <f t="shared" si="61"/>
        <v>5.9826450562462996E-2</v>
      </c>
      <c r="O138" s="4">
        <f>ROUND($C138+MIN($D138:$E138)*(1-SUMIFS(PrefFlows!$C:$C,PrefFlows!$A:$A,INDEX($D$1:$E$1,MATCH(MIN($D138:$E138),$D138:$E138,0)),PrefFlows!$B:$B,$B138)),2)</f>
        <v>50.96</v>
      </c>
      <c r="P138" s="5">
        <f>ROUND(MAX($D138:$E138)+MIN($D138:$E138)*SUMIFS(PrefFlows!$C:$C,PrefFlows!$A:$A,INDEX($D$1:$E$1,MATCH(MIN($D138:$E138),$D138:$E138,0)),PrefFlows!$B:$B,$B138),2)</f>
        <v>25.83</v>
      </c>
      <c r="Q138" s="5">
        <f t="shared" si="62"/>
        <v>7.04</v>
      </c>
      <c r="R138" s="5">
        <f t="shared" si="63"/>
        <v>7.21</v>
      </c>
      <c r="S138" s="3">
        <f t="shared" si="64"/>
        <v>8.9499999999999993</v>
      </c>
      <c r="T138" s="6">
        <f t="shared" si="65"/>
        <v>-25.13</v>
      </c>
      <c r="U138" s="4">
        <f>ROUND($Q138*SUMIFS(PrefFlows!$C:$C,PrefFlows!$A:$A,$Q$1,PrefFlows!$B:$B,$B138)+$R138*SUMIFS(PrefFlows!$C:$C,PrefFlows!$A:$A,$R$1,PrefFlows!$B:$B,$B138)+$S138*SUMIFS(PrefFlows!$C:$C,PrefFlows!$A:$A,$S$1,PrefFlows!$B:$B,$B138),2)</f>
        <v>10.61</v>
      </c>
      <c r="V138" s="3">
        <f>ROUND($Q138*(1-SUMIFS(PrefFlows!$C:$C,PrefFlows!$A:$A,$Q$1,PrefFlows!$B:$B,$B138))+$R138*(1-SUMIFS(PrefFlows!$C:$C,PrefFlows!$A:$A,$R$1,PrefFlows!$B:$B,$B138))+$S138*(1-SUMIFS(PrefFlows!$C:$C,PrefFlows!$A:$A,$S$1,PrefFlows!$B:$B,$B138)),2)</f>
        <v>12.59</v>
      </c>
      <c r="W138" s="4">
        <f t="shared" si="66"/>
        <v>10.039999999999999</v>
      </c>
      <c r="X138" s="3">
        <f t="shared" si="67"/>
        <v>13.17</v>
      </c>
      <c r="Y138" s="4">
        <f t="shared" si="68"/>
        <v>0.45729999999999998</v>
      </c>
      <c r="Z138" s="5">
        <f t="shared" si="69"/>
        <v>0.43259999999999998</v>
      </c>
      <c r="AA138" s="5">
        <f t="shared" si="70"/>
        <v>-2.47E-2</v>
      </c>
      <c r="AB138" s="3">
        <v>6.64816244039107E-2</v>
      </c>
      <c r="AC138" s="4">
        <f>ROUND(Q138*(1-(Exhaust!$B$2+AB138)),2)</f>
        <v>2.63</v>
      </c>
      <c r="AD138" s="5">
        <f>ROUND(R138*(1-(Exhaust!$B$3+$AB138)),2)</f>
        <v>3.85</v>
      </c>
      <c r="AE138" s="3">
        <f>ROUND(S138*(1-(Exhaust!$B$4+$AB138)),2)</f>
        <v>3.88</v>
      </c>
      <c r="AF138" s="4">
        <f>ROUND($AC138*(SUMIFS(PrefFlows!$C:$C,PrefFlows!$A:$A,$Q$1,PrefFlows!$B:$B,$B138)+$AA138)+$AD138*(SUMIFS(PrefFlows!$C:$C,PrefFlows!$A:$A,$R$1,PrefFlows!$B:$B,$B138)+$AA138)+$AE138*(SUMIFS(PrefFlows!$C:$C,PrefFlows!$A:$A,$S$1,PrefFlows!$B:$B,$B138)+$AA138),2)</f>
        <v>4.22</v>
      </c>
      <c r="AG138" s="3">
        <f>ROUND($AC138*(1-(SUMIFS(PrefFlows!$C:$C,PrefFlows!$A:$A,$Q$1,PrefFlows!$B:$B,$B138)+$AA138))+$AD138*(1-(SUMIFS(PrefFlows!$C:$C,PrefFlows!$A:$A,$R$1,PrefFlows!$B:$B,$B138)+$AA138))+$AE138*(1-(SUMIFS(PrefFlows!$C:$C,PrefFlows!$A:$A,$S$1,PrefFlows!$B:$B,$B138)+$AA138)),2)</f>
        <v>6.14</v>
      </c>
      <c r="AH138" s="4">
        <f t="shared" si="71"/>
        <v>30.05</v>
      </c>
      <c r="AI138" s="3">
        <f t="shared" si="72"/>
        <v>57.1</v>
      </c>
      <c r="AJ138" s="4">
        <f t="shared" si="73"/>
        <v>34.479999999999997</v>
      </c>
      <c r="AK138" s="3">
        <f t="shared" si="73"/>
        <v>65.52</v>
      </c>
      <c r="AL138" s="1">
        <f t="shared" si="56"/>
        <v>-14.13</v>
      </c>
      <c r="AM138" s="1">
        <f t="shared" si="57"/>
        <v>-15.06</v>
      </c>
      <c r="AN138" s="3">
        <f t="shared" si="58"/>
        <v>-15.52</v>
      </c>
      <c r="AO138" s="1" t="b">
        <f t="shared" si="74"/>
        <v>0</v>
      </c>
      <c r="AP138" s="1" t="b">
        <f t="shared" si="74"/>
        <v>0</v>
      </c>
      <c r="AQ138" s="3" t="b">
        <f t="shared" si="75"/>
        <v>0</v>
      </c>
      <c r="AR138" s="1">
        <f t="shared" si="76"/>
        <v>-0.92999999999999972</v>
      </c>
      <c r="AS138" s="1">
        <f t="shared" si="76"/>
        <v>-1.3899999999999988</v>
      </c>
      <c r="AT138" s="3">
        <f t="shared" si="77"/>
        <v>0.45999999999999908</v>
      </c>
      <c r="AU138" s="1">
        <f>ROUND(IF($B138="NSW",L138*Meta!$B$6,L138),1)</f>
        <v>6467</v>
      </c>
      <c r="AV138" s="3">
        <f t="shared" si="59"/>
        <v>103074.1</v>
      </c>
    </row>
    <row r="139" spans="1:48" x14ac:dyDescent="0.55000000000000004">
      <c r="A139" s="2" t="s">
        <v>139</v>
      </c>
      <c r="B139" s="3" t="s">
        <v>29</v>
      </c>
      <c r="C139" s="4">
        <v>31.83</v>
      </c>
      <c r="D139" s="5">
        <v>46.97</v>
      </c>
      <c r="E139" s="5">
        <v>0</v>
      </c>
      <c r="F139" s="5">
        <v>5.42</v>
      </c>
      <c r="G139" s="5">
        <v>12.03</v>
      </c>
      <c r="H139" s="5">
        <v>3.75</v>
      </c>
      <c r="I139" s="4">
        <v>55.65</v>
      </c>
      <c r="J139" s="3">
        <v>44.35</v>
      </c>
      <c r="K139" s="4">
        <v>91038</v>
      </c>
      <c r="L139" s="5">
        <v>4259</v>
      </c>
      <c r="M139" s="3">
        <f t="shared" si="60"/>
        <v>86779</v>
      </c>
      <c r="N139" s="5">
        <f t="shared" si="61"/>
        <v>4.678266218502164E-2</v>
      </c>
      <c r="O139" s="4">
        <f>ROUND($C139+MIN($D139:$E139)*(1-SUMIFS(PrefFlows!$C:$C,PrefFlows!$A:$A,INDEX($D$1:$E$1,MATCH(MIN($D139:$E139),$D139:$E139,0)),PrefFlows!$B:$B,$B139)),2)</f>
        <v>31.83</v>
      </c>
      <c r="P139" s="5">
        <f>ROUND(MAX($D139:$E139)+MIN($D139:$E139)*SUMIFS(PrefFlows!$C:$C,PrefFlows!$A:$A,INDEX($D$1:$E$1,MATCH(MIN($D139:$E139),$D139:$E139,0)),PrefFlows!$B:$B,$B139),2)</f>
        <v>46.97</v>
      </c>
      <c r="Q139" s="5">
        <f t="shared" si="62"/>
        <v>5.42</v>
      </c>
      <c r="R139" s="5">
        <f t="shared" si="63"/>
        <v>12.03</v>
      </c>
      <c r="S139" s="3">
        <f t="shared" si="64"/>
        <v>3.75</v>
      </c>
      <c r="T139" s="6">
        <f t="shared" si="65"/>
        <v>15.14</v>
      </c>
      <c r="U139" s="4">
        <f>ROUND($Q139*SUMIFS(PrefFlows!$C:$C,PrefFlows!$A:$A,$Q$1,PrefFlows!$B:$B,$B139)+$R139*SUMIFS(PrefFlows!$C:$C,PrefFlows!$A:$A,$R$1,PrefFlows!$B:$B,$B139)+$S139*SUMIFS(PrefFlows!$C:$C,PrefFlows!$A:$A,$S$1,PrefFlows!$B:$B,$B139),2)</f>
        <v>7.85</v>
      </c>
      <c r="V139" s="3">
        <f>ROUND($Q139*(1-SUMIFS(PrefFlows!$C:$C,PrefFlows!$A:$A,$Q$1,PrefFlows!$B:$B,$B139))+$R139*(1-SUMIFS(PrefFlows!$C:$C,PrefFlows!$A:$A,$R$1,PrefFlows!$B:$B,$B139))+$S139*(1-SUMIFS(PrefFlows!$C:$C,PrefFlows!$A:$A,$S$1,PrefFlows!$B:$B,$B139)),2)</f>
        <v>13.35</v>
      </c>
      <c r="W139" s="4">
        <f t="shared" si="66"/>
        <v>8.68</v>
      </c>
      <c r="X139" s="3">
        <f t="shared" si="67"/>
        <v>12.52</v>
      </c>
      <c r="Y139" s="4">
        <f t="shared" si="68"/>
        <v>0.37030000000000002</v>
      </c>
      <c r="Z139" s="5">
        <f t="shared" si="69"/>
        <v>0.40939999999999999</v>
      </c>
      <c r="AA139" s="5">
        <f t="shared" si="70"/>
        <v>3.9100000000000003E-2</v>
      </c>
      <c r="AB139" s="3">
        <v>1.3570035031437E-3</v>
      </c>
      <c r="AC139" s="4">
        <f>ROUND(Q139*(1-(Exhaust!$B$2+AB139)),2)</f>
        <v>2.38</v>
      </c>
      <c r="AD139" s="5">
        <f>ROUND(R139*(1-(Exhaust!$B$3+$AB139)),2)</f>
        <v>7.2</v>
      </c>
      <c r="AE139" s="3">
        <f>ROUND(S139*(1-(Exhaust!$B$4+$AB139)),2)</f>
        <v>1.87</v>
      </c>
      <c r="AF139" s="4">
        <f>ROUND($AC139*(SUMIFS(PrefFlows!$C:$C,PrefFlows!$A:$A,$Q$1,PrefFlows!$B:$B,$B139)+$AA139)+$AD139*(SUMIFS(PrefFlows!$C:$C,PrefFlows!$A:$A,$R$1,PrefFlows!$B:$B,$B139)+$AA139)+$AE139*(SUMIFS(PrefFlows!$C:$C,PrefFlows!$A:$A,$S$1,PrefFlows!$B:$B,$B139)+$AA139),2)</f>
        <v>4.4000000000000004</v>
      </c>
      <c r="AG139" s="3">
        <f>ROUND($AC139*(1-(SUMIFS(PrefFlows!$C:$C,PrefFlows!$A:$A,$Q$1,PrefFlows!$B:$B,$B139)+$AA139))+$AD139*(1-(SUMIFS(PrefFlows!$C:$C,PrefFlows!$A:$A,$R$1,PrefFlows!$B:$B,$B139)+$AA139))+$AE139*(1-(SUMIFS(PrefFlows!$C:$C,PrefFlows!$A:$A,$S$1,PrefFlows!$B:$B,$B139)+$AA139)),2)</f>
        <v>7.05</v>
      </c>
      <c r="AH139" s="4">
        <f t="shared" si="71"/>
        <v>51.37</v>
      </c>
      <c r="AI139" s="3">
        <f t="shared" si="72"/>
        <v>38.880000000000003</v>
      </c>
      <c r="AJ139" s="4">
        <f t="shared" si="73"/>
        <v>56.92</v>
      </c>
      <c r="AK139" s="3">
        <f t="shared" si="73"/>
        <v>43.08</v>
      </c>
      <c r="AL139" s="1">
        <f t="shared" si="56"/>
        <v>5.65</v>
      </c>
      <c r="AM139" s="1">
        <f t="shared" si="57"/>
        <v>7.32</v>
      </c>
      <c r="AN139" s="3">
        <f t="shared" si="58"/>
        <v>6.92</v>
      </c>
      <c r="AO139" s="1" t="b">
        <f t="shared" si="74"/>
        <v>0</v>
      </c>
      <c r="AP139" s="1" t="b">
        <f t="shared" si="74"/>
        <v>0</v>
      </c>
      <c r="AQ139" s="3" t="b">
        <f t="shared" si="75"/>
        <v>0</v>
      </c>
      <c r="AR139" s="1">
        <f t="shared" si="76"/>
        <v>1.67</v>
      </c>
      <c r="AS139" s="1">
        <f t="shared" si="76"/>
        <v>1.2699999999999996</v>
      </c>
      <c r="AT139" s="3">
        <f t="shared" si="77"/>
        <v>0.40000000000000036</v>
      </c>
      <c r="AU139" s="1">
        <f>ROUND(IF($B139="NSW",L139*Meta!$B$6,L139),1)</f>
        <v>4259</v>
      </c>
      <c r="AV139" s="3">
        <f t="shared" si="59"/>
        <v>87730.7</v>
      </c>
    </row>
    <row r="140" spans="1:48" x14ac:dyDescent="0.55000000000000004">
      <c r="A140" s="2" t="s">
        <v>140</v>
      </c>
      <c r="B140" s="3" t="s">
        <v>7</v>
      </c>
      <c r="C140" s="4">
        <v>29.86</v>
      </c>
      <c r="D140" s="5">
        <v>50.57</v>
      </c>
      <c r="E140" s="5">
        <v>0</v>
      </c>
      <c r="F140" s="5">
        <v>2.42</v>
      </c>
      <c r="G140" s="5">
        <v>11.18</v>
      </c>
      <c r="H140" s="5">
        <v>5.97</v>
      </c>
      <c r="I140" s="4">
        <v>56.87</v>
      </c>
      <c r="J140" s="3">
        <v>43.13</v>
      </c>
      <c r="K140" s="4">
        <v>115953</v>
      </c>
      <c r="L140" s="5">
        <v>6221</v>
      </c>
      <c r="M140" s="3">
        <f t="shared" si="60"/>
        <v>109732</v>
      </c>
      <c r="N140" s="5">
        <f t="shared" si="61"/>
        <v>5.3651048269557494E-2</v>
      </c>
      <c r="O140" s="4">
        <f>ROUND($C140+MIN($D140:$E140)*(1-SUMIFS(PrefFlows!$C:$C,PrefFlows!$A:$A,INDEX($D$1:$E$1,MATCH(MIN($D140:$E140),$D140:$E140,0)),PrefFlows!$B:$B,$B140)),2)</f>
        <v>29.86</v>
      </c>
      <c r="P140" s="5">
        <f>ROUND(MAX($D140:$E140)+MIN($D140:$E140)*SUMIFS(PrefFlows!$C:$C,PrefFlows!$A:$A,INDEX($D$1:$E$1,MATCH(MIN($D140:$E140),$D140:$E140,0)),PrefFlows!$B:$B,$B140),2)</f>
        <v>50.57</v>
      </c>
      <c r="Q140" s="5">
        <f t="shared" si="62"/>
        <v>2.42</v>
      </c>
      <c r="R140" s="5">
        <f t="shared" si="63"/>
        <v>11.18</v>
      </c>
      <c r="S140" s="3">
        <f t="shared" si="64"/>
        <v>5.97</v>
      </c>
      <c r="T140" s="6">
        <f t="shared" si="65"/>
        <v>20.71</v>
      </c>
      <c r="U140" s="4">
        <f>ROUND($Q140*SUMIFS(PrefFlows!$C:$C,PrefFlows!$A:$A,$Q$1,PrefFlows!$B:$B,$B140)+$R140*SUMIFS(PrefFlows!$C:$C,PrefFlows!$A:$A,$R$1,PrefFlows!$B:$B,$B140)+$S140*SUMIFS(PrefFlows!$C:$C,PrefFlows!$A:$A,$S$1,PrefFlows!$B:$B,$B140),2)</f>
        <v>6.92</v>
      </c>
      <c r="V140" s="3">
        <f>ROUND($Q140*(1-SUMIFS(PrefFlows!$C:$C,PrefFlows!$A:$A,$Q$1,PrefFlows!$B:$B,$B140))+$R140*(1-SUMIFS(PrefFlows!$C:$C,PrefFlows!$A:$A,$R$1,PrefFlows!$B:$B,$B140))+$S140*(1-SUMIFS(PrefFlows!$C:$C,PrefFlows!$A:$A,$S$1,PrefFlows!$B:$B,$B140)),2)</f>
        <v>12.65</v>
      </c>
      <c r="W140" s="4">
        <f t="shared" si="66"/>
        <v>6.3</v>
      </c>
      <c r="X140" s="3">
        <f t="shared" si="67"/>
        <v>13.27</v>
      </c>
      <c r="Y140" s="4">
        <f t="shared" si="68"/>
        <v>0.35360000000000003</v>
      </c>
      <c r="Z140" s="5">
        <f t="shared" si="69"/>
        <v>0.32190000000000002</v>
      </c>
      <c r="AA140" s="5">
        <f t="shared" si="70"/>
        <v>-3.1699999999999999E-2</v>
      </c>
      <c r="AB140" s="3">
        <v>-1.50672886115755E-2</v>
      </c>
      <c r="AC140" s="4">
        <f>ROUND(Q140*(1-(Exhaust!$B$2+AB140)),2)</f>
        <v>1.1000000000000001</v>
      </c>
      <c r="AD140" s="5">
        <f>ROUND(R140*(1-(Exhaust!$B$3+$AB140)),2)</f>
        <v>6.88</v>
      </c>
      <c r="AE140" s="3">
        <f>ROUND(S140*(1-(Exhaust!$B$4+$AB140)),2)</f>
        <v>3.07</v>
      </c>
      <c r="AF140" s="4">
        <f>ROUND($AC140*(SUMIFS(PrefFlows!$C:$C,PrefFlows!$A:$A,$Q$1,PrefFlows!$B:$B,$B140)+$AA140)+$AD140*(SUMIFS(PrefFlows!$C:$C,PrefFlows!$A:$A,$R$1,PrefFlows!$B:$B,$B140)+$AA140)+$AE140*(SUMIFS(PrefFlows!$C:$C,PrefFlows!$A:$A,$S$1,PrefFlows!$B:$B,$B140)+$AA140),2)</f>
        <v>3.34</v>
      </c>
      <c r="AG140" s="3">
        <f>ROUND($AC140*(1-(SUMIFS(PrefFlows!$C:$C,PrefFlows!$A:$A,$Q$1,PrefFlows!$B:$B,$B140)+$AA140))+$AD140*(1-(SUMIFS(PrefFlows!$C:$C,PrefFlows!$A:$A,$R$1,PrefFlows!$B:$B,$B140)+$AA140))+$AE140*(1-(SUMIFS(PrefFlows!$C:$C,PrefFlows!$A:$A,$S$1,PrefFlows!$B:$B,$B140)+$AA140)),2)</f>
        <v>7.71</v>
      </c>
      <c r="AH140" s="4">
        <f t="shared" si="71"/>
        <v>53.91</v>
      </c>
      <c r="AI140" s="3">
        <f t="shared" si="72"/>
        <v>37.57</v>
      </c>
      <c r="AJ140" s="4">
        <f t="shared" si="73"/>
        <v>58.93</v>
      </c>
      <c r="AK140" s="3">
        <f t="shared" si="73"/>
        <v>41.07</v>
      </c>
      <c r="AL140" s="1">
        <f t="shared" si="56"/>
        <v>6.87</v>
      </c>
      <c r="AM140" s="1">
        <f t="shared" si="57"/>
        <v>9.43</v>
      </c>
      <c r="AN140" s="3">
        <f t="shared" si="58"/>
        <v>8.93</v>
      </c>
      <c r="AO140" s="1" t="b">
        <f t="shared" si="74"/>
        <v>0</v>
      </c>
      <c r="AP140" s="1" t="b">
        <f t="shared" si="74"/>
        <v>0</v>
      </c>
      <c r="AQ140" s="3" t="b">
        <f t="shared" si="75"/>
        <v>0</v>
      </c>
      <c r="AR140" s="1">
        <f t="shared" si="76"/>
        <v>2.5599999999999996</v>
      </c>
      <c r="AS140" s="1">
        <f t="shared" si="76"/>
        <v>2.0599999999999996</v>
      </c>
      <c r="AT140" s="3">
        <f t="shared" si="77"/>
        <v>0.5</v>
      </c>
      <c r="AU140" s="1">
        <f>ROUND(IF($B140="NSW",L140*Meta!$B$6,L140),1)</f>
        <v>6221</v>
      </c>
      <c r="AV140" s="3">
        <f t="shared" si="59"/>
        <v>111122.2</v>
      </c>
    </row>
    <row r="141" spans="1:48" x14ac:dyDescent="0.55000000000000004">
      <c r="A141" s="2" t="s">
        <v>141</v>
      </c>
      <c r="B141" s="3" t="s">
        <v>29</v>
      </c>
      <c r="C141" s="4">
        <v>33.22</v>
      </c>
      <c r="D141" s="5">
        <v>44.68</v>
      </c>
      <c r="E141" s="5">
        <v>0</v>
      </c>
      <c r="F141" s="5">
        <v>4.18</v>
      </c>
      <c r="G141" s="5">
        <v>12.32</v>
      </c>
      <c r="H141" s="5">
        <v>5.59</v>
      </c>
      <c r="I141" s="4">
        <v>52.69</v>
      </c>
      <c r="J141" s="3">
        <v>47.31</v>
      </c>
      <c r="K141" s="4">
        <v>89333</v>
      </c>
      <c r="L141" s="5">
        <v>5196</v>
      </c>
      <c r="M141" s="3">
        <f t="shared" si="60"/>
        <v>84137</v>
      </c>
      <c r="N141" s="5">
        <f t="shared" si="61"/>
        <v>5.8164396135806477E-2</v>
      </c>
      <c r="O141" s="4">
        <f>ROUND($C141+MIN($D141:$E141)*(1-SUMIFS(PrefFlows!$C:$C,PrefFlows!$A:$A,INDEX($D$1:$E$1,MATCH(MIN($D141:$E141),$D141:$E141,0)),PrefFlows!$B:$B,$B141)),2)</f>
        <v>33.22</v>
      </c>
      <c r="P141" s="5">
        <f>ROUND(MAX($D141:$E141)+MIN($D141:$E141)*SUMIFS(PrefFlows!$C:$C,PrefFlows!$A:$A,INDEX($D$1:$E$1,MATCH(MIN($D141:$E141),$D141:$E141,0)),PrefFlows!$B:$B,$B141),2)</f>
        <v>44.68</v>
      </c>
      <c r="Q141" s="5">
        <f t="shared" si="62"/>
        <v>4.18</v>
      </c>
      <c r="R141" s="5">
        <f t="shared" si="63"/>
        <v>12.32</v>
      </c>
      <c r="S141" s="3">
        <f t="shared" si="64"/>
        <v>5.59</v>
      </c>
      <c r="T141" s="6">
        <f t="shared" si="65"/>
        <v>11.46</v>
      </c>
      <c r="U141" s="4">
        <f>ROUND($Q141*SUMIFS(PrefFlows!$C:$C,PrefFlows!$A:$A,$Q$1,PrefFlows!$B:$B,$B141)+$R141*SUMIFS(PrefFlows!$C:$C,PrefFlows!$A:$A,$R$1,PrefFlows!$B:$B,$B141)+$S141*SUMIFS(PrefFlows!$C:$C,PrefFlows!$A:$A,$S$1,PrefFlows!$B:$B,$B141),2)</f>
        <v>8.08</v>
      </c>
      <c r="V141" s="3">
        <f>ROUND($Q141*(1-SUMIFS(PrefFlows!$C:$C,PrefFlows!$A:$A,$Q$1,PrefFlows!$B:$B,$B141))+$R141*(1-SUMIFS(PrefFlows!$C:$C,PrefFlows!$A:$A,$R$1,PrefFlows!$B:$B,$B141))+$S141*(1-SUMIFS(PrefFlows!$C:$C,PrefFlows!$A:$A,$S$1,PrefFlows!$B:$B,$B141)),2)</f>
        <v>14.01</v>
      </c>
      <c r="W141" s="4">
        <f t="shared" si="66"/>
        <v>8.01</v>
      </c>
      <c r="X141" s="3">
        <f t="shared" si="67"/>
        <v>14.09</v>
      </c>
      <c r="Y141" s="4">
        <f t="shared" si="68"/>
        <v>0.36580000000000001</v>
      </c>
      <c r="Z141" s="5">
        <f t="shared" si="69"/>
        <v>0.3624</v>
      </c>
      <c r="AA141" s="5">
        <f t="shared" si="70"/>
        <v>-3.3999999999999998E-3</v>
      </c>
      <c r="AB141" s="3">
        <v>3.6863485445713098E-3</v>
      </c>
      <c r="AC141" s="4">
        <f>ROUND(Q141*(1-(Exhaust!$B$2+AB141)),2)</f>
        <v>1.82</v>
      </c>
      <c r="AD141" s="5">
        <f>ROUND(R141*(1-(Exhaust!$B$3+$AB141)),2)</f>
        <v>7.35</v>
      </c>
      <c r="AE141" s="3">
        <f>ROUND(S141*(1-(Exhaust!$B$4+$AB141)),2)</f>
        <v>2.77</v>
      </c>
      <c r="AF141" s="4">
        <f>ROUND($AC141*(SUMIFS(PrefFlows!$C:$C,PrefFlows!$A:$A,$Q$1,PrefFlows!$B:$B,$B141)+$AA141)+$AD141*(SUMIFS(PrefFlows!$C:$C,PrefFlows!$A:$A,$R$1,PrefFlows!$B:$B,$B141)+$AA141)+$AE141*(SUMIFS(PrefFlows!$C:$C,PrefFlows!$A:$A,$S$1,PrefFlows!$B:$B,$B141)+$AA141),2)</f>
        <v>4.05</v>
      </c>
      <c r="AG141" s="3">
        <f>ROUND($AC141*(1-(SUMIFS(PrefFlows!$C:$C,PrefFlows!$A:$A,$Q$1,PrefFlows!$B:$B,$B141)+$AA141))+$AD141*(1-(SUMIFS(PrefFlows!$C:$C,PrefFlows!$A:$A,$R$1,PrefFlows!$B:$B,$B141)+$AA141))+$AE141*(1-(SUMIFS(PrefFlows!$C:$C,PrefFlows!$A:$A,$S$1,PrefFlows!$B:$B,$B141)+$AA141)),2)</f>
        <v>7.89</v>
      </c>
      <c r="AH141" s="4">
        <f t="shared" si="71"/>
        <v>48.73</v>
      </c>
      <c r="AI141" s="3">
        <f t="shared" si="72"/>
        <v>41.11</v>
      </c>
      <c r="AJ141" s="4">
        <f t="shared" si="73"/>
        <v>54.24</v>
      </c>
      <c r="AK141" s="3">
        <f t="shared" si="73"/>
        <v>45.76</v>
      </c>
      <c r="AL141" s="1">
        <f t="shared" si="56"/>
        <v>2.69</v>
      </c>
      <c r="AM141" s="1">
        <f t="shared" si="57"/>
        <v>4.6399999999999997</v>
      </c>
      <c r="AN141" s="3">
        <f t="shared" si="58"/>
        <v>4.24</v>
      </c>
      <c r="AO141" s="1" t="b">
        <f t="shared" si="74"/>
        <v>0</v>
      </c>
      <c r="AP141" s="1" t="b">
        <f t="shared" si="74"/>
        <v>0</v>
      </c>
      <c r="AQ141" s="3" t="b">
        <f t="shared" si="75"/>
        <v>0</v>
      </c>
      <c r="AR141" s="1">
        <f t="shared" si="76"/>
        <v>1.9499999999999997</v>
      </c>
      <c r="AS141" s="1">
        <f t="shared" si="76"/>
        <v>1.5500000000000003</v>
      </c>
      <c r="AT141" s="3">
        <f t="shared" si="77"/>
        <v>0.39999999999999947</v>
      </c>
      <c r="AU141" s="1">
        <f>ROUND(IF($B141="NSW",L141*Meta!$B$6,L141),1)</f>
        <v>5196</v>
      </c>
      <c r="AV141" s="3">
        <f t="shared" si="59"/>
        <v>85298.1</v>
      </c>
    </row>
    <row r="142" spans="1:48" x14ac:dyDescent="0.55000000000000004">
      <c r="A142" s="2" t="s">
        <v>142</v>
      </c>
      <c r="B142" s="3" t="s">
        <v>12</v>
      </c>
      <c r="C142" s="4">
        <v>49.41</v>
      </c>
      <c r="D142" s="5">
        <v>26.61</v>
      </c>
      <c r="E142" s="5">
        <v>0</v>
      </c>
      <c r="F142" s="5">
        <v>1.44</v>
      </c>
      <c r="G142" s="5">
        <v>18.07</v>
      </c>
      <c r="H142" s="5">
        <v>4.47</v>
      </c>
      <c r="I142" s="4">
        <v>31.33</v>
      </c>
      <c r="J142" s="3">
        <v>68.67</v>
      </c>
      <c r="K142" s="4">
        <v>98569</v>
      </c>
      <c r="L142" s="5">
        <v>3754</v>
      </c>
      <c r="M142" s="3">
        <f t="shared" si="60"/>
        <v>94815</v>
      </c>
      <c r="N142" s="5">
        <f t="shared" si="61"/>
        <v>3.8084996297010218E-2</v>
      </c>
      <c r="O142" s="4">
        <f>ROUND($C142+MIN($D142:$E142)*(1-SUMIFS(PrefFlows!$C:$C,PrefFlows!$A:$A,INDEX($D$1:$E$1,MATCH(MIN($D142:$E142),$D142:$E142,0)),PrefFlows!$B:$B,$B142)),2)</f>
        <v>49.41</v>
      </c>
      <c r="P142" s="5">
        <f>ROUND(MAX($D142:$E142)+MIN($D142:$E142)*SUMIFS(PrefFlows!$C:$C,PrefFlows!$A:$A,INDEX($D$1:$E$1,MATCH(MIN($D142:$E142),$D142:$E142,0)),PrefFlows!$B:$B,$B142),2)</f>
        <v>26.61</v>
      </c>
      <c r="Q142" s="5">
        <f t="shared" si="62"/>
        <v>1.44</v>
      </c>
      <c r="R142" s="5">
        <f t="shared" si="63"/>
        <v>18.07</v>
      </c>
      <c r="S142" s="3">
        <f t="shared" si="64"/>
        <v>4.47</v>
      </c>
      <c r="T142" s="6">
        <f t="shared" si="65"/>
        <v>-22.8</v>
      </c>
      <c r="U142" s="4">
        <f>ROUND($Q142*SUMIFS(PrefFlows!$C:$C,PrefFlows!$A:$A,$Q$1,PrefFlows!$B:$B,$B142)+$R142*SUMIFS(PrefFlows!$C:$C,PrefFlows!$A:$A,$R$1,PrefFlows!$B:$B,$B142)+$S142*SUMIFS(PrefFlows!$C:$C,PrefFlows!$A:$A,$S$1,PrefFlows!$B:$B,$B142),2)</f>
        <v>6.48</v>
      </c>
      <c r="V142" s="3">
        <f>ROUND($Q142*(1-SUMIFS(PrefFlows!$C:$C,PrefFlows!$A:$A,$Q$1,PrefFlows!$B:$B,$B142))+$R142*(1-SUMIFS(PrefFlows!$C:$C,PrefFlows!$A:$A,$R$1,PrefFlows!$B:$B,$B142))+$S142*(1-SUMIFS(PrefFlows!$C:$C,PrefFlows!$A:$A,$S$1,PrefFlows!$B:$B,$B142)),2)</f>
        <v>17.5</v>
      </c>
      <c r="W142" s="4">
        <f t="shared" si="66"/>
        <v>4.72</v>
      </c>
      <c r="X142" s="3">
        <f t="shared" si="67"/>
        <v>19.260000000000002</v>
      </c>
      <c r="Y142" s="4">
        <f t="shared" si="68"/>
        <v>0.2702</v>
      </c>
      <c r="Z142" s="5">
        <f t="shared" si="69"/>
        <v>0.1968</v>
      </c>
      <c r="AA142" s="5">
        <f t="shared" si="70"/>
        <v>-7.3400000000000007E-2</v>
      </c>
      <c r="AB142" s="3">
        <v>-4.3112995417632902E-2</v>
      </c>
      <c r="AC142" s="4">
        <f>ROUND(Q142*(1-(Exhaust!$B$2+AB142)),2)</f>
        <v>0.7</v>
      </c>
      <c r="AD142" s="5">
        <f>ROUND(R142*(1-(Exhaust!$B$3+$AB142)),2)</f>
        <v>11.62</v>
      </c>
      <c r="AE142" s="3">
        <f>ROUND(S142*(1-(Exhaust!$B$4+$AB142)),2)</f>
        <v>2.4300000000000002</v>
      </c>
      <c r="AF142" s="4">
        <f>ROUND($AC142*(SUMIFS(PrefFlows!$C:$C,PrefFlows!$A:$A,$Q$1,PrefFlows!$B:$B,$B142)+$AA142)+$AD142*(SUMIFS(PrefFlows!$C:$C,PrefFlows!$A:$A,$R$1,PrefFlows!$B:$B,$B142)+$AA142)+$AE142*(SUMIFS(PrefFlows!$C:$C,PrefFlows!$A:$A,$S$1,PrefFlows!$B:$B,$B142)+$AA142),2)</f>
        <v>2.71</v>
      </c>
      <c r="AG142" s="3">
        <f>ROUND($AC142*(1-(SUMIFS(PrefFlows!$C:$C,PrefFlows!$A:$A,$Q$1,PrefFlows!$B:$B,$B142)+$AA142))+$AD142*(1-(SUMIFS(PrefFlows!$C:$C,PrefFlows!$A:$A,$R$1,PrefFlows!$B:$B,$B142)+$AA142))+$AE142*(1-(SUMIFS(PrefFlows!$C:$C,PrefFlows!$A:$A,$S$1,PrefFlows!$B:$B,$B142)+$AA142)),2)</f>
        <v>12.04</v>
      </c>
      <c r="AH142" s="4">
        <f t="shared" si="71"/>
        <v>29.32</v>
      </c>
      <c r="AI142" s="3">
        <f t="shared" si="72"/>
        <v>61.45</v>
      </c>
      <c r="AJ142" s="4">
        <f t="shared" si="73"/>
        <v>32.299999999999997</v>
      </c>
      <c r="AK142" s="3">
        <f t="shared" si="73"/>
        <v>67.7</v>
      </c>
      <c r="AL142" s="1">
        <f t="shared" si="56"/>
        <v>-18.670000000000002</v>
      </c>
      <c r="AM142" s="1">
        <f t="shared" si="57"/>
        <v>-17.16</v>
      </c>
      <c r="AN142" s="3">
        <f t="shared" si="58"/>
        <v>-17.7</v>
      </c>
      <c r="AO142" s="1" t="b">
        <f t="shared" si="74"/>
        <v>0</v>
      </c>
      <c r="AP142" s="1" t="b">
        <f t="shared" si="74"/>
        <v>0</v>
      </c>
      <c r="AQ142" s="3" t="b">
        <f t="shared" si="75"/>
        <v>0</v>
      </c>
      <c r="AR142" s="1">
        <f t="shared" si="76"/>
        <v>1.5100000000000016</v>
      </c>
      <c r="AS142" s="1">
        <f t="shared" si="76"/>
        <v>0.97000000000000242</v>
      </c>
      <c r="AT142" s="3">
        <f t="shared" si="77"/>
        <v>0.53999999999999915</v>
      </c>
      <c r="AU142" s="1">
        <f>ROUND(IF($B142="NSW",L142*Meta!$B$6,L142),1)</f>
        <v>2496.4</v>
      </c>
      <c r="AV142" s="3">
        <f t="shared" si="59"/>
        <v>96630.5</v>
      </c>
    </row>
    <row r="143" spans="1:48" x14ac:dyDescent="0.55000000000000004">
      <c r="A143" s="2" t="s">
        <v>143</v>
      </c>
      <c r="B143" s="3" t="s">
        <v>29</v>
      </c>
      <c r="C143" s="4">
        <v>25.95</v>
      </c>
      <c r="D143" s="5">
        <v>53.63</v>
      </c>
      <c r="E143" s="5">
        <v>0</v>
      </c>
      <c r="F143" s="5">
        <v>3.24</v>
      </c>
      <c r="G143" s="5">
        <v>11.17</v>
      </c>
      <c r="H143" s="5">
        <v>6.01</v>
      </c>
      <c r="I143" s="4">
        <v>61.47</v>
      </c>
      <c r="J143" s="3">
        <v>38.53</v>
      </c>
      <c r="K143" s="4">
        <v>87250</v>
      </c>
      <c r="L143" s="5">
        <v>3831</v>
      </c>
      <c r="M143" s="3">
        <f t="shared" si="60"/>
        <v>83419</v>
      </c>
      <c r="N143" s="5">
        <f t="shared" si="61"/>
        <v>4.3908309455587394E-2</v>
      </c>
      <c r="O143" s="4">
        <f>ROUND($C143+MIN($D143:$E143)*(1-SUMIFS(PrefFlows!$C:$C,PrefFlows!$A:$A,INDEX($D$1:$E$1,MATCH(MIN($D143:$E143),$D143:$E143,0)),PrefFlows!$B:$B,$B143)),2)</f>
        <v>25.95</v>
      </c>
      <c r="P143" s="5">
        <f>ROUND(MAX($D143:$E143)+MIN($D143:$E143)*SUMIFS(PrefFlows!$C:$C,PrefFlows!$A:$A,INDEX($D$1:$E$1,MATCH(MIN($D143:$E143),$D143:$E143,0)),PrefFlows!$B:$B,$B143),2)</f>
        <v>53.63</v>
      </c>
      <c r="Q143" s="5">
        <f t="shared" si="62"/>
        <v>3.24</v>
      </c>
      <c r="R143" s="5">
        <f t="shared" si="63"/>
        <v>11.17</v>
      </c>
      <c r="S143" s="3">
        <f t="shared" si="64"/>
        <v>6.01</v>
      </c>
      <c r="T143" s="6">
        <f t="shared" si="65"/>
        <v>27.68</v>
      </c>
      <c r="U143" s="4">
        <f>ROUND($Q143*SUMIFS(PrefFlows!$C:$C,PrefFlows!$A:$A,$Q$1,PrefFlows!$B:$B,$B143)+$R143*SUMIFS(PrefFlows!$C:$C,PrefFlows!$A:$A,$R$1,PrefFlows!$B:$B,$B143)+$S143*SUMIFS(PrefFlows!$C:$C,PrefFlows!$A:$A,$S$1,PrefFlows!$B:$B,$B143),2)</f>
        <v>7.46</v>
      </c>
      <c r="V143" s="3">
        <f>ROUND($Q143*(1-SUMIFS(PrefFlows!$C:$C,PrefFlows!$A:$A,$Q$1,PrefFlows!$B:$B,$B143))+$R143*(1-SUMIFS(PrefFlows!$C:$C,PrefFlows!$A:$A,$R$1,PrefFlows!$B:$B,$B143))+$S143*(1-SUMIFS(PrefFlows!$C:$C,PrefFlows!$A:$A,$S$1,PrefFlows!$B:$B,$B143)),2)</f>
        <v>12.96</v>
      </c>
      <c r="W143" s="4">
        <f t="shared" si="66"/>
        <v>7.84</v>
      </c>
      <c r="X143" s="3">
        <f t="shared" si="67"/>
        <v>12.58</v>
      </c>
      <c r="Y143" s="4">
        <f t="shared" si="68"/>
        <v>0.36530000000000001</v>
      </c>
      <c r="Z143" s="5">
        <f t="shared" si="69"/>
        <v>0.38390000000000002</v>
      </c>
      <c r="AA143" s="5">
        <f t="shared" si="70"/>
        <v>1.8599999999999998E-2</v>
      </c>
      <c r="AB143" s="3">
        <v>-8.6774724256133608E-3</v>
      </c>
      <c r="AC143" s="4">
        <f>ROUND(Q143*(1-(Exhaust!$B$2+AB143)),2)</f>
        <v>1.45</v>
      </c>
      <c r="AD143" s="5">
        <f>ROUND(R143*(1-(Exhaust!$B$3+$AB143)),2)</f>
        <v>6.8</v>
      </c>
      <c r="AE143" s="3">
        <f>ROUND(S143*(1-(Exhaust!$B$4+$AB143)),2)</f>
        <v>3.06</v>
      </c>
      <c r="AF143" s="4">
        <f>ROUND($AC143*(SUMIFS(PrefFlows!$C:$C,PrefFlows!$A:$A,$Q$1,PrefFlows!$B:$B,$B143)+$AA143)+$AD143*(SUMIFS(PrefFlows!$C:$C,PrefFlows!$A:$A,$R$1,PrefFlows!$B:$B,$B143)+$AA143)+$AE143*(SUMIFS(PrefFlows!$C:$C,PrefFlows!$A:$A,$S$1,PrefFlows!$B:$B,$B143)+$AA143),2)</f>
        <v>4.1100000000000003</v>
      </c>
      <c r="AG143" s="3">
        <f>ROUND($AC143*(1-(SUMIFS(PrefFlows!$C:$C,PrefFlows!$A:$A,$Q$1,PrefFlows!$B:$B,$B143)+$AA143))+$AD143*(1-(SUMIFS(PrefFlows!$C:$C,PrefFlows!$A:$A,$R$1,PrefFlows!$B:$B,$B143)+$AA143))+$AE143*(1-(SUMIFS(PrefFlows!$C:$C,PrefFlows!$A:$A,$S$1,PrefFlows!$B:$B,$B143)+$AA143)),2)</f>
        <v>7.2</v>
      </c>
      <c r="AH143" s="4">
        <f t="shared" si="71"/>
        <v>57.74</v>
      </c>
      <c r="AI143" s="3">
        <f t="shared" si="72"/>
        <v>33.15</v>
      </c>
      <c r="AJ143" s="4">
        <f t="shared" si="73"/>
        <v>63.53</v>
      </c>
      <c r="AK143" s="3">
        <f t="shared" si="73"/>
        <v>36.47</v>
      </c>
      <c r="AL143" s="1">
        <f t="shared" si="56"/>
        <v>11.47</v>
      </c>
      <c r="AM143" s="1">
        <f t="shared" si="57"/>
        <v>13.98</v>
      </c>
      <c r="AN143" s="3">
        <f t="shared" si="58"/>
        <v>13.53</v>
      </c>
      <c r="AO143" s="1" t="b">
        <f t="shared" si="74"/>
        <v>0</v>
      </c>
      <c r="AP143" s="1" t="b">
        <f t="shared" si="74"/>
        <v>0</v>
      </c>
      <c r="AQ143" s="3" t="b">
        <f t="shared" si="75"/>
        <v>0</v>
      </c>
      <c r="AR143" s="1">
        <f t="shared" si="76"/>
        <v>2.5099999999999998</v>
      </c>
      <c r="AS143" s="1">
        <f t="shared" si="76"/>
        <v>2.0599999999999987</v>
      </c>
      <c r="AT143" s="3">
        <f t="shared" si="77"/>
        <v>0.45000000000000107</v>
      </c>
      <c r="AU143" s="1">
        <f>ROUND(IF($B143="NSW",L143*Meta!$B$6,L143),1)</f>
        <v>3831</v>
      </c>
      <c r="AV143" s="3">
        <f t="shared" si="59"/>
        <v>84275.1</v>
      </c>
    </row>
    <row r="144" spans="1:48" x14ac:dyDescent="0.55000000000000004">
      <c r="A144" s="2" t="s">
        <v>144</v>
      </c>
      <c r="B144" s="3" t="s">
        <v>9</v>
      </c>
      <c r="C144" s="4">
        <v>26.13</v>
      </c>
      <c r="D144" s="5">
        <v>51.11</v>
      </c>
      <c r="E144" s="5">
        <v>0</v>
      </c>
      <c r="F144" s="5">
        <v>6.02</v>
      </c>
      <c r="G144" s="5">
        <v>6.34</v>
      </c>
      <c r="H144" s="5">
        <v>10.39</v>
      </c>
      <c r="I144" s="4">
        <v>60.38</v>
      </c>
      <c r="J144" s="3">
        <v>39.619999999999997</v>
      </c>
      <c r="K144" s="4">
        <v>108050</v>
      </c>
      <c r="L144" s="5">
        <v>4161</v>
      </c>
      <c r="M144" s="3">
        <f t="shared" si="60"/>
        <v>103889</v>
      </c>
      <c r="N144" s="5">
        <f t="shared" si="61"/>
        <v>3.8509949097639981E-2</v>
      </c>
      <c r="O144" s="4">
        <f>ROUND($C144+MIN($D144:$E144)*(1-SUMIFS(PrefFlows!$C:$C,PrefFlows!$A:$A,INDEX($D$1:$E$1,MATCH(MIN($D144:$E144),$D144:$E144,0)),PrefFlows!$B:$B,$B144)),2)</f>
        <v>26.13</v>
      </c>
      <c r="P144" s="5">
        <f>ROUND(MAX($D144:$E144)+MIN($D144:$E144)*SUMIFS(PrefFlows!$C:$C,PrefFlows!$A:$A,INDEX($D$1:$E$1,MATCH(MIN($D144:$E144),$D144:$E144,0)),PrefFlows!$B:$B,$B144),2)</f>
        <v>51.11</v>
      </c>
      <c r="Q144" s="5">
        <f t="shared" si="62"/>
        <v>6.02</v>
      </c>
      <c r="R144" s="5">
        <f t="shared" si="63"/>
        <v>6.34</v>
      </c>
      <c r="S144" s="3">
        <f t="shared" si="64"/>
        <v>10.39</v>
      </c>
      <c r="T144" s="6">
        <f t="shared" si="65"/>
        <v>24.98</v>
      </c>
      <c r="U144" s="4">
        <f>ROUND($Q144*SUMIFS(PrefFlows!$C:$C,PrefFlows!$A:$A,$Q$1,PrefFlows!$B:$B,$B144)+$R144*SUMIFS(PrefFlows!$C:$C,PrefFlows!$A:$A,$R$1,PrefFlows!$B:$B,$B144)+$S144*SUMIFS(PrefFlows!$C:$C,PrefFlows!$A:$A,$S$1,PrefFlows!$B:$B,$B144),2)</f>
        <v>10.47</v>
      </c>
      <c r="V144" s="3">
        <f>ROUND($Q144*(1-SUMIFS(PrefFlows!$C:$C,PrefFlows!$A:$A,$Q$1,PrefFlows!$B:$B,$B144))+$R144*(1-SUMIFS(PrefFlows!$C:$C,PrefFlows!$A:$A,$R$1,PrefFlows!$B:$B,$B144))+$S144*(1-SUMIFS(PrefFlows!$C:$C,PrefFlows!$A:$A,$S$1,PrefFlows!$B:$B,$B144)),2)</f>
        <v>12.28</v>
      </c>
      <c r="W144" s="4">
        <f t="shared" si="66"/>
        <v>9.27</v>
      </c>
      <c r="X144" s="3">
        <f t="shared" si="67"/>
        <v>13.49</v>
      </c>
      <c r="Y144" s="4">
        <f t="shared" si="68"/>
        <v>0.4602</v>
      </c>
      <c r="Z144" s="5">
        <f t="shared" si="69"/>
        <v>0.4073</v>
      </c>
      <c r="AA144" s="5">
        <f t="shared" si="70"/>
        <v>-5.2900000000000003E-2</v>
      </c>
      <c r="AB144" s="3">
        <v>2.8872811282752701E-2</v>
      </c>
      <c r="AC144" s="4">
        <f>ROUND(Q144*(1-(Exhaust!$B$2+AB144)),2)</f>
        <v>2.4700000000000002</v>
      </c>
      <c r="AD144" s="5">
        <f>ROUND(R144*(1-(Exhaust!$B$3+$AB144)),2)</f>
        <v>3.62</v>
      </c>
      <c r="AE144" s="3">
        <f>ROUND(S144*(1-(Exhaust!$B$4+$AB144)),2)</f>
        <v>4.9000000000000004</v>
      </c>
      <c r="AF144" s="4">
        <f>ROUND($AC144*(SUMIFS(PrefFlows!$C:$C,PrefFlows!$A:$A,$Q$1,PrefFlows!$B:$B,$B144)+$AA144)+$AD144*(SUMIFS(PrefFlows!$C:$C,PrefFlows!$A:$A,$R$1,PrefFlows!$B:$B,$B144)+$AA144)+$AE144*(SUMIFS(PrefFlows!$C:$C,PrefFlows!$A:$A,$S$1,PrefFlows!$B:$B,$B144)+$AA144),2)</f>
        <v>4.22</v>
      </c>
      <c r="AG144" s="3">
        <f>ROUND($AC144*(1-(SUMIFS(PrefFlows!$C:$C,PrefFlows!$A:$A,$Q$1,PrefFlows!$B:$B,$B144)+$AA144))+$AD144*(1-(SUMIFS(PrefFlows!$C:$C,PrefFlows!$A:$A,$R$1,PrefFlows!$B:$B,$B144)+$AA144))+$AE144*(1-(SUMIFS(PrefFlows!$C:$C,PrefFlows!$A:$A,$S$1,PrefFlows!$B:$B,$B144)+$AA144)),2)</f>
        <v>6.77</v>
      </c>
      <c r="AH144" s="4">
        <f t="shared" si="71"/>
        <v>55.33</v>
      </c>
      <c r="AI144" s="3">
        <f t="shared" si="72"/>
        <v>32.9</v>
      </c>
      <c r="AJ144" s="4">
        <f t="shared" si="73"/>
        <v>62.71</v>
      </c>
      <c r="AK144" s="3">
        <f t="shared" si="73"/>
        <v>37.29</v>
      </c>
      <c r="AL144" s="1">
        <f t="shared" si="56"/>
        <v>10.38</v>
      </c>
      <c r="AM144" s="1">
        <f t="shared" si="57"/>
        <v>12.79</v>
      </c>
      <c r="AN144" s="3">
        <f t="shared" si="58"/>
        <v>12.71</v>
      </c>
      <c r="AO144" s="1" t="b">
        <f t="shared" si="74"/>
        <v>0</v>
      </c>
      <c r="AP144" s="1" t="b">
        <f t="shared" si="74"/>
        <v>0</v>
      </c>
      <c r="AQ144" s="3" t="b">
        <f t="shared" si="75"/>
        <v>0</v>
      </c>
      <c r="AR144" s="1">
        <f t="shared" si="76"/>
        <v>2.4099999999999984</v>
      </c>
      <c r="AS144" s="1">
        <f t="shared" si="76"/>
        <v>2.33</v>
      </c>
      <c r="AT144" s="3">
        <f t="shared" si="77"/>
        <v>7.9999999999998295E-2</v>
      </c>
      <c r="AU144" s="1">
        <f>ROUND(IF($B144="NSW",L144*Meta!$B$6,L144),1)</f>
        <v>4161</v>
      </c>
      <c r="AV144" s="3">
        <f t="shared" si="59"/>
        <v>104818.8</v>
      </c>
    </row>
    <row r="145" spans="1:48" x14ac:dyDescent="0.55000000000000004">
      <c r="A145" s="2" t="s">
        <v>145</v>
      </c>
      <c r="B145" s="3" t="s">
        <v>12</v>
      </c>
      <c r="C145" s="4">
        <v>6.61</v>
      </c>
      <c r="D145" s="5">
        <v>39.01</v>
      </c>
      <c r="E145" s="5">
        <v>0</v>
      </c>
      <c r="F145" s="5">
        <v>0.68</v>
      </c>
      <c r="G145" s="5">
        <v>6.13</v>
      </c>
      <c r="H145" s="5">
        <v>47.57</v>
      </c>
      <c r="I145" s="4">
        <v>52.12</v>
      </c>
      <c r="J145" s="3">
        <v>47.88</v>
      </c>
      <c r="K145" s="4">
        <v>97020</v>
      </c>
      <c r="L145" s="5">
        <v>4897</v>
      </c>
      <c r="M145" s="3">
        <f t="shared" si="60"/>
        <v>92123</v>
      </c>
      <c r="N145" s="5">
        <f t="shared" si="61"/>
        <v>5.047412904555762E-2</v>
      </c>
      <c r="O145" s="4">
        <f>ROUND($C145+MIN($D145:$E145)*(1-SUMIFS(PrefFlows!$C:$C,PrefFlows!$A:$A,INDEX($D$1:$E$1,MATCH(MIN($D145:$E145),$D145:$E145,0)),PrefFlows!$B:$B,$B145)),2)</f>
        <v>6.61</v>
      </c>
      <c r="P145" s="5">
        <f>ROUND(MAX($D145:$E145)+MIN($D145:$E145)*SUMIFS(PrefFlows!$C:$C,PrefFlows!$A:$A,INDEX($D$1:$E$1,MATCH(MIN($D145:$E145),$D145:$E145,0)),PrefFlows!$B:$B,$B145),2)</f>
        <v>39.01</v>
      </c>
      <c r="Q145" s="5">
        <f t="shared" si="62"/>
        <v>0.68</v>
      </c>
      <c r="R145" s="5">
        <f t="shared" si="63"/>
        <v>6.13</v>
      </c>
      <c r="S145" s="3">
        <f t="shared" si="64"/>
        <v>47.57</v>
      </c>
      <c r="T145" s="6">
        <f t="shared" si="65"/>
        <v>32.4</v>
      </c>
      <c r="U145" s="4">
        <f>ROUND($Q145*SUMIFS(PrefFlows!$C:$C,PrefFlows!$A:$A,$Q$1,PrefFlows!$B:$B,$B145)+$R145*SUMIFS(PrefFlows!$C:$C,PrefFlows!$A:$A,$R$1,PrefFlows!$B:$B,$B145)+$S145*SUMIFS(PrefFlows!$C:$C,PrefFlows!$A:$A,$S$1,PrefFlows!$B:$B,$B145),2)</f>
        <v>26.36</v>
      </c>
      <c r="V145" s="3">
        <f>ROUND($Q145*(1-SUMIFS(PrefFlows!$C:$C,PrefFlows!$A:$A,$Q$1,PrefFlows!$B:$B,$B145))+$R145*(1-SUMIFS(PrefFlows!$C:$C,PrefFlows!$A:$A,$R$1,PrefFlows!$B:$B,$B145))+$S145*(1-SUMIFS(PrefFlows!$C:$C,PrefFlows!$A:$A,$S$1,PrefFlows!$B:$B,$B145)),2)</f>
        <v>28.02</v>
      </c>
      <c r="W145" s="4">
        <f t="shared" si="66"/>
        <v>13.11</v>
      </c>
      <c r="X145" s="3">
        <f t="shared" si="67"/>
        <v>41.27</v>
      </c>
      <c r="Y145" s="4">
        <f t="shared" si="68"/>
        <v>0.48470000000000002</v>
      </c>
      <c r="Z145" s="5">
        <f t="shared" si="69"/>
        <v>0.24110000000000001</v>
      </c>
      <c r="AA145" s="5">
        <f t="shared" si="70"/>
        <v>-0.24360000000000001</v>
      </c>
      <c r="AB145" s="3">
        <v>-2.08116323599669E-2</v>
      </c>
      <c r="AC145" s="4">
        <f>ROUND(Q145*(1-(Exhaust!$B$2+AB145)),2)</f>
        <v>0.31</v>
      </c>
      <c r="AD145" s="5">
        <f>ROUND(R145*(1-(Exhaust!$B$3+$AB145)),2)</f>
        <v>3.81</v>
      </c>
      <c r="AE145" s="3">
        <f>ROUND(S145*(1-(Exhaust!$B$4+$AB145)),2)</f>
        <v>24.78</v>
      </c>
      <c r="AF145" s="4">
        <f>ROUND($AC145*(SUMIFS(PrefFlows!$C:$C,PrefFlows!$A:$A,$Q$1,PrefFlows!$B:$B,$B145)+$AA145)+$AD145*(SUMIFS(PrefFlows!$C:$C,PrefFlows!$A:$A,$R$1,PrefFlows!$B:$B,$B145)+$AA145)+$AE145*(SUMIFS(PrefFlows!$C:$C,PrefFlows!$A:$A,$S$1,PrefFlows!$B:$B,$B145)+$AA145),2)</f>
        <v>6.77</v>
      </c>
      <c r="AG145" s="3">
        <f>ROUND($AC145*(1-(SUMIFS(PrefFlows!$C:$C,PrefFlows!$A:$A,$Q$1,PrefFlows!$B:$B,$B145)+$AA145))+$AD145*(1-(SUMIFS(PrefFlows!$C:$C,PrefFlows!$A:$A,$R$1,PrefFlows!$B:$B,$B145)+$AA145))+$AE145*(1-(SUMIFS(PrefFlows!$C:$C,PrefFlows!$A:$A,$S$1,PrefFlows!$B:$B,$B145)+$AA145)),2)</f>
        <v>22.13</v>
      </c>
      <c r="AH145" s="4">
        <f t="shared" si="71"/>
        <v>45.78</v>
      </c>
      <c r="AI145" s="3">
        <f t="shared" si="72"/>
        <v>28.74</v>
      </c>
      <c r="AJ145" s="4">
        <f t="shared" si="73"/>
        <v>61.43</v>
      </c>
      <c r="AK145" s="3">
        <f t="shared" si="73"/>
        <v>38.57</v>
      </c>
      <c r="AL145" s="1">
        <f t="shared" si="56"/>
        <v>2.12</v>
      </c>
      <c r="AM145" s="1">
        <f t="shared" si="57"/>
        <v>12.01</v>
      </c>
      <c r="AN145" s="3">
        <f t="shared" si="58"/>
        <v>11.43</v>
      </c>
      <c r="AO145" s="1" t="b">
        <f t="shared" si="74"/>
        <v>0</v>
      </c>
      <c r="AP145" s="1" t="b">
        <f t="shared" si="74"/>
        <v>0</v>
      </c>
      <c r="AQ145" s="3" t="b">
        <f t="shared" si="75"/>
        <v>0</v>
      </c>
      <c r="AR145" s="1">
        <f t="shared" si="76"/>
        <v>9.89</v>
      </c>
      <c r="AS145" s="1">
        <f t="shared" si="76"/>
        <v>9.3099999999999987</v>
      </c>
      <c r="AT145" s="3">
        <f t="shared" si="77"/>
        <v>0.58000000000000007</v>
      </c>
      <c r="AU145" s="1">
        <f>ROUND(IF($B145="NSW",L145*Meta!$B$6,L145),1)</f>
        <v>3256.5</v>
      </c>
      <c r="AV145" s="3">
        <f t="shared" si="59"/>
        <v>94491.199999999997</v>
      </c>
    </row>
    <row r="146" spans="1:48" x14ac:dyDescent="0.55000000000000004">
      <c r="A146" s="2" t="s">
        <v>146</v>
      </c>
      <c r="B146" s="3" t="s">
        <v>12</v>
      </c>
      <c r="C146" s="4">
        <v>51.69</v>
      </c>
      <c r="D146" s="5">
        <v>29.4</v>
      </c>
      <c r="E146" s="5">
        <v>0</v>
      </c>
      <c r="F146" s="5">
        <v>4.21</v>
      </c>
      <c r="G146" s="5">
        <v>7.1</v>
      </c>
      <c r="H146" s="5">
        <v>7.6</v>
      </c>
      <c r="I146" s="4">
        <v>36.479999999999997</v>
      </c>
      <c r="J146" s="3">
        <v>63.52</v>
      </c>
      <c r="K146" s="4">
        <v>96409</v>
      </c>
      <c r="L146" s="5">
        <v>12159</v>
      </c>
      <c r="M146" s="3">
        <f t="shared" si="60"/>
        <v>84250</v>
      </c>
      <c r="N146" s="5">
        <f t="shared" si="61"/>
        <v>0.12611893080521527</v>
      </c>
      <c r="O146" s="4">
        <f>ROUND($C146+MIN($D146:$E146)*(1-SUMIFS(PrefFlows!$C:$C,PrefFlows!$A:$A,INDEX($D$1:$E$1,MATCH(MIN($D146:$E146),$D146:$E146,0)),PrefFlows!$B:$B,$B146)),2)</f>
        <v>51.69</v>
      </c>
      <c r="P146" s="5">
        <f>ROUND(MAX($D146:$E146)+MIN($D146:$E146)*SUMIFS(PrefFlows!$C:$C,PrefFlows!$A:$A,INDEX($D$1:$E$1,MATCH(MIN($D146:$E146),$D146:$E146,0)),PrefFlows!$B:$B,$B146),2)</f>
        <v>29.4</v>
      </c>
      <c r="Q146" s="5">
        <f t="shared" si="62"/>
        <v>4.21</v>
      </c>
      <c r="R146" s="5">
        <f t="shared" si="63"/>
        <v>7.1</v>
      </c>
      <c r="S146" s="3">
        <f t="shared" si="64"/>
        <v>7.6</v>
      </c>
      <c r="T146" s="6">
        <f t="shared" si="65"/>
        <v>-22.29</v>
      </c>
      <c r="U146" s="4">
        <f>ROUND($Q146*SUMIFS(PrefFlows!$C:$C,PrefFlows!$A:$A,$Q$1,PrefFlows!$B:$B,$B146)+$R146*SUMIFS(PrefFlows!$C:$C,PrefFlows!$A:$A,$R$1,PrefFlows!$B:$B,$B146)+$S146*SUMIFS(PrefFlows!$C:$C,PrefFlows!$A:$A,$S$1,PrefFlows!$B:$B,$B146),2)</f>
        <v>7.94</v>
      </c>
      <c r="V146" s="3">
        <f>ROUND($Q146*(1-SUMIFS(PrefFlows!$C:$C,PrefFlows!$A:$A,$Q$1,PrefFlows!$B:$B,$B146))+$R146*(1-SUMIFS(PrefFlows!$C:$C,PrefFlows!$A:$A,$R$1,PrefFlows!$B:$B,$B146))+$S146*(1-SUMIFS(PrefFlows!$C:$C,PrefFlows!$A:$A,$S$1,PrefFlows!$B:$B,$B146)),2)</f>
        <v>10.97</v>
      </c>
      <c r="W146" s="4">
        <f t="shared" si="66"/>
        <v>7.08</v>
      </c>
      <c r="X146" s="3">
        <f t="shared" si="67"/>
        <v>11.83</v>
      </c>
      <c r="Y146" s="4">
        <f t="shared" si="68"/>
        <v>0.4199</v>
      </c>
      <c r="Z146" s="5">
        <f t="shared" si="69"/>
        <v>0.37440000000000001</v>
      </c>
      <c r="AA146" s="5">
        <f t="shared" si="70"/>
        <v>-4.5499999999999999E-2</v>
      </c>
      <c r="AB146" s="3">
        <v>4.57867535335168E-2</v>
      </c>
      <c r="AC146" s="4">
        <f>ROUND(Q146*(1-(Exhaust!$B$2+AB146)),2)</f>
        <v>1.66</v>
      </c>
      <c r="AD146" s="5">
        <f>ROUND(R146*(1-(Exhaust!$B$3+$AB146)),2)</f>
        <v>3.93</v>
      </c>
      <c r="AE146" s="3">
        <f>ROUND(S146*(1-(Exhaust!$B$4+$AB146)),2)</f>
        <v>3.45</v>
      </c>
      <c r="AF146" s="4">
        <f>ROUND($AC146*(SUMIFS(PrefFlows!$C:$C,PrefFlows!$A:$A,$Q$1,PrefFlows!$B:$B,$B146)+$AA146)+$AD146*(SUMIFS(PrefFlows!$C:$C,PrefFlows!$A:$A,$R$1,PrefFlows!$B:$B,$B146)+$AA146)+$AE146*(SUMIFS(PrefFlows!$C:$C,PrefFlows!$A:$A,$S$1,PrefFlows!$B:$B,$B146)+$AA146),2)</f>
        <v>3.16</v>
      </c>
      <c r="AG146" s="3">
        <f>ROUND($AC146*(1-(SUMIFS(PrefFlows!$C:$C,PrefFlows!$A:$A,$Q$1,PrefFlows!$B:$B,$B146)+$AA146))+$AD146*(1-(SUMIFS(PrefFlows!$C:$C,PrefFlows!$A:$A,$R$1,PrefFlows!$B:$B,$B146)+$AA146))+$AE146*(1-(SUMIFS(PrefFlows!$C:$C,PrefFlows!$A:$A,$S$1,PrefFlows!$B:$B,$B146)+$AA146)),2)</f>
        <v>5.88</v>
      </c>
      <c r="AH146" s="4">
        <f t="shared" si="71"/>
        <v>32.56</v>
      </c>
      <c r="AI146" s="3">
        <f t="shared" si="72"/>
        <v>57.57</v>
      </c>
      <c r="AJ146" s="4">
        <f t="shared" si="73"/>
        <v>36.130000000000003</v>
      </c>
      <c r="AK146" s="3">
        <f t="shared" si="73"/>
        <v>63.87</v>
      </c>
      <c r="AL146" s="1">
        <f t="shared" si="56"/>
        <v>-13.52</v>
      </c>
      <c r="AM146" s="1">
        <f t="shared" si="57"/>
        <v>-13.62</v>
      </c>
      <c r="AN146" s="3">
        <f t="shared" si="58"/>
        <v>-13.87</v>
      </c>
      <c r="AO146" s="1" t="b">
        <f t="shared" si="74"/>
        <v>0</v>
      </c>
      <c r="AP146" s="1" t="b">
        <f t="shared" si="74"/>
        <v>0</v>
      </c>
      <c r="AQ146" s="3" t="b">
        <f t="shared" si="75"/>
        <v>0</v>
      </c>
      <c r="AR146" s="1">
        <f t="shared" si="76"/>
        <v>-9.9999999999999645E-2</v>
      </c>
      <c r="AS146" s="1">
        <f t="shared" si="76"/>
        <v>-0.34999999999999964</v>
      </c>
      <c r="AT146" s="3">
        <f t="shared" si="77"/>
        <v>0.25</v>
      </c>
      <c r="AU146" s="1">
        <f>ROUND(IF($B146="NSW",L146*Meta!$B$6,L146),1)</f>
        <v>8085.7</v>
      </c>
      <c r="AV146" s="3">
        <f t="shared" si="59"/>
        <v>90130.2</v>
      </c>
    </row>
    <row r="147" spans="1:48" x14ac:dyDescent="0.55000000000000004">
      <c r="A147" s="2" t="s">
        <v>147</v>
      </c>
      <c r="B147" s="3" t="s">
        <v>12</v>
      </c>
      <c r="C147" s="4">
        <v>10.95</v>
      </c>
      <c r="D147" s="5">
        <v>47.44</v>
      </c>
      <c r="E147" s="5">
        <v>0</v>
      </c>
      <c r="F147" s="5">
        <v>0.7</v>
      </c>
      <c r="G147" s="5">
        <v>7.53</v>
      </c>
      <c r="H147" s="5">
        <v>33.39</v>
      </c>
      <c r="I147" s="4">
        <v>59.85</v>
      </c>
      <c r="J147" s="3">
        <v>40.15</v>
      </c>
      <c r="K147" s="4">
        <v>92525</v>
      </c>
      <c r="L147" s="5">
        <v>2771</v>
      </c>
      <c r="M147" s="3">
        <f t="shared" si="60"/>
        <v>89754</v>
      </c>
      <c r="N147" s="5">
        <f t="shared" si="61"/>
        <v>2.9948662523642259E-2</v>
      </c>
      <c r="O147" s="4">
        <f>ROUND($C147+MIN($D147:$E147)*(1-SUMIFS(PrefFlows!$C:$C,PrefFlows!$A:$A,INDEX($D$1:$E$1,MATCH(MIN($D147:$E147),$D147:$E147,0)),PrefFlows!$B:$B,$B147)),2)</f>
        <v>10.95</v>
      </c>
      <c r="P147" s="5">
        <f>ROUND(MAX($D147:$E147)+MIN($D147:$E147)*SUMIFS(PrefFlows!$C:$C,PrefFlows!$A:$A,INDEX($D$1:$E$1,MATCH(MIN($D147:$E147),$D147:$E147,0)),PrefFlows!$B:$B,$B147),2)</f>
        <v>47.44</v>
      </c>
      <c r="Q147" s="5">
        <f t="shared" si="62"/>
        <v>0.7</v>
      </c>
      <c r="R147" s="5">
        <f t="shared" si="63"/>
        <v>7.53</v>
      </c>
      <c r="S147" s="3">
        <f t="shared" si="64"/>
        <v>33.39</v>
      </c>
      <c r="T147" s="6">
        <f t="shared" si="65"/>
        <v>36.49</v>
      </c>
      <c r="U147" s="4">
        <f>ROUND($Q147*SUMIFS(PrefFlows!$C:$C,PrefFlows!$A:$A,$Q$1,PrefFlows!$B:$B,$B147)+$R147*SUMIFS(PrefFlows!$C:$C,PrefFlows!$A:$A,$R$1,PrefFlows!$B:$B,$B147)+$S147*SUMIFS(PrefFlows!$C:$C,PrefFlows!$A:$A,$S$1,PrefFlows!$B:$B,$B147),2)</f>
        <v>19.22</v>
      </c>
      <c r="V147" s="3">
        <f>ROUND($Q147*(1-SUMIFS(PrefFlows!$C:$C,PrefFlows!$A:$A,$Q$1,PrefFlows!$B:$B,$B147))+$R147*(1-SUMIFS(PrefFlows!$C:$C,PrefFlows!$A:$A,$R$1,PrefFlows!$B:$B,$B147))+$S147*(1-SUMIFS(PrefFlows!$C:$C,PrefFlows!$A:$A,$S$1,PrefFlows!$B:$B,$B147)),2)</f>
        <v>22.4</v>
      </c>
      <c r="W147" s="4">
        <f t="shared" si="66"/>
        <v>12.41</v>
      </c>
      <c r="X147" s="3">
        <f t="shared" si="67"/>
        <v>29.2</v>
      </c>
      <c r="Y147" s="4">
        <f t="shared" si="68"/>
        <v>0.46179999999999999</v>
      </c>
      <c r="Z147" s="5">
        <f t="shared" si="69"/>
        <v>0.29820000000000002</v>
      </c>
      <c r="AA147" s="5">
        <f t="shared" si="70"/>
        <v>-0.1636</v>
      </c>
      <c r="AB147" s="3">
        <v>-3.13853174498794E-2</v>
      </c>
      <c r="AC147" s="4">
        <f>ROUND(Q147*(1-(Exhaust!$B$2+AB147)),2)</f>
        <v>0.33</v>
      </c>
      <c r="AD147" s="5">
        <f>ROUND(R147*(1-(Exhaust!$B$3+$AB147)),2)</f>
        <v>4.75</v>
      </c>
      <c r="AE147" s="3">
        <f>ROUND(S147*(1-(Exhaust!$B$4+$AB147)),2)</f>
        <v>17.739999999999998</v>
      </c>
      <c r="AF147" s="4">
        <f>ROUND($AC147*(SUMIFS(PrefFlows!$C:$C,PrefFlows!$A:$A,$Q$1,PrefFlows!$B:$B,$B147)+$AA147)+$AD147*(SUMIFS(PrefFlows!$C:$C,PrefFlows!$A:$A,$R$1,PrefFlows!$B:$B,$B147)+$AA147)+$AE147*(SUMIFS(PrefFlows!$C:$C,PrefFlows!$A:$A,$S$1,PrefFlows!$B:$B,$B147)+$AA147),2)</f>
        <v>6.59</v>
      </c>
      <c r="AG147" s="3">
        <f>ROUND($AC147*(1-(SUMIFS(PrefFlows!$C:$C,PrefFlows!$A:$A,$Q$1,PrefFlows!$B:$B,$B147)+$AA147))+$AD147*(1-(SUMIFS(PrefFlows!$C:$C,PrefFlows!$A:$A,$R$1,PrefFlows!$B:$B,$B147)+$AA147))+$AE147*(1-(SUMIFS(PrefFlows!$C:$C,PrefFlows!$A:$A,$S$1,PrefFlows!$B:$B,$B147)+$AA147)),2)</f>
        <v>16.23</v>
      </c>
      <c r="AH147" s="4">
        <f t="shared" si="71"/>
        <v>54.03</v>
      </c>
      <c r="AI147" s="3">
        <f t="shared" si="72"/>
        <v>27.18</v>
      </c>
      <c r="AJ147" s="4">
        <f t="shared" si="73"/>
        <v>66.53</v>
      </c>
      <c r="AK147" s="3">
        <f t="shared" si="73"/>
        <v>33.47</v>
      </c>
      <c r="AL147" s="1">
        <f t="shared" si="56"/>
        <v>9.85</v>
      </c>
      <c r="AM147" s="1">
        <f t="shared" si="57"/>
        <v>17.34</v>
      </c>
      <c r="AN147" s="3">
        <f t="shared" si="58"/>
        <v>16.53</v>
      </c>
      <c r="AO147" s="1" t="b">
        <f t="shared" si="74"/>
        <v>0</v>
      </c>
      <c r="AP147" s="1" t="b">
        <f t="shared" si="74"/>
        <v>0</v>
      </c>
      <c r="AQ147" s="3" t="b">
        <f t="shared" si="75"/>
        <v>0</v>
      </c>
      <c r="AR147" s="1">
        <f t="shared" si="76"/>
        <v>7.49</v>
      </c>
      <c r="AS147" s="1">
        <f t="shared" si="76"/>
        <v>6.6800000000000015</v>
      </c>
      <c r="AT147" s="3">
        <f t="shared" si="77"/>
        <v>0.80999999999999872</v>
      </c>
      <c r="AU147" s="1">
        <f>ROUND(IF($B147="NSW",L147*Meta!$B$6,L147),1)</f>
        <v>1842.7</v>
      </c>
      <c r="AV147" s="3">
        <f t="shared" si="59"/>
        <v>91094.1</v>
      </c>
    </row>
    <row r="148" spans="1:48" x14ac:dyDescent="0.55000000000000004">
      <c r="A148" s="2" t="s">
        <v>148</v>
      </c>
      <c r="B148" s="3" t="s">
        <v>12</v>
      </c>
      <c r="C148" s="4">
        <v>47.76</v>
      </c>
      <c r="D148" s="5">
        <v>35.270000000000003</v>
      </c>
      <c r="E148" s="5">
        <v>0</v>
      </c>
      <c r="F148" s="5">
        <v>4.2</v>
      </c>
      <c r="G148" s="5">
        <v>5.37</v>
      </c>
      <c r="H148" s="5">
        <v>7.4</v>
      </c>
      <c r="I148" s="4">
        <v>44.53</v>
      </c>
      <c r="J148" s="3">
        <v>55.47</v>
      </c>
      <c r="K148" s="4">
        <v>106553</v>
      </c>
      <c r="L148" s="5">
        <v>12324</v>
      </c>
      <c r="M148" s="3">
        <f t="shared" si="60"/>
        <v>94229</v>
      </c>
      <c r="N148" s="5">
        <f t="shared" si="61"/>
        <v>0.11566075098777134</v>
      </c>
      <c r="O148" s="4">
        <f>ROUND($C148+MIN($D148:$E148)*(1-SUMIFS(PrefFlows!$C:$C,PrefFlows!$A:$A,INDEX($D$1:$E$1,MATCH(MIN($D148:$E148),$D148:$E148,0)),PrefFlows!$B:$B,$B148)),2)</f>
        <v>47.76</v>
      </c>
      <c r="P148" s="5">
        <f>ROUND(MAX($D148:$E148)+MIN($D148:$E148)*SUMIFS(PrefFlows!$C:$C,PrefFlows!$A:$A,INDEX($D$1:$E$1,MATCH(MIN($D148:$E148),$D148:$E148,0)),PrefFlows!$B:$B,$B148),2)</f>
        <v>35.270000000000003</v>
      </c>
      <c r="Q148" s="5">
        <f t="shared" si="62"/>
        <v>4.2</v>
      </c>
      <c r="R148" s="5">
        <f t="shared" si="63"/>
        <v>5.37</v>
      </c>
      <c r="S148" s="3">
        <f t="shared" si="64"/>
        <v>7.4</v>
      </c>
      <c r="T148" s="6">
        <f t="shared" si="65"/>
        <v>-12.49</v>
      </c>
      <c r="U148" s="4">
        <f>ROUND($Q148*SUMIFS(PrefFlows!$C:$C,PrefFlows!$A:$A,$Q$1,PrefFlows!$B:$B,$B148)+$R148*SUMIFS(PrefFlows!$C:$C,PrefFlows!$A:$A,$R$1,PrefFlows!$B:$B,$B148)+$S148*SUMIFS(PrefFlows!$C:$C,PrefFlows!$A:$A,$S$1,PrefFlows!$B:$B,$B148),2)</f>
        <v>7.52</v>
      </c>
      <c r="V148" s="3">
        <f>ROUND($Q148*(1-SUMIFS(PrefFlows!$C:$C,PrefFlows!$A:$A,$Q$1,PrefFlows!$B:$B,$B148))+$R148*(1-SUMIFS(PrefFlows!$C:$C,PrefFlows!$A:$A,$R$1,PrefFlows!$B:$B,$B148))+$S148*(1-SUMIFS(PrefFlows!$C:$C,PrefFlows!$A:$A,$S$1,PrefFlows!$B:$B,$B148)),2)</f>
        <v>9.4499999999999993</v>
      </c>
      <c r="W148" s="4">
        <f t="shared" si="66"/>
        <v>9.26</v>
      </c>
      <c r="X148" s="3">
        <f t="shared" si="67"/>
        <v>7.71</v>
      </c>
      <c r="Y148" s="4">
        <f t="shared" si="68"/>
        <v>0.44309999999999999</v>
      </c>
      <c r="Z148" s="5">
        <f t="shared" si="69"/>
        <v>0.54569999999999996</v>
      </c>
      <c r="AA148" s="5">
        <f t="shared" si="70"/>
        <v>0.1026</v>
      </c>
      <c r="AB148" s="3">
        <v>7.1671709617547805E-2</v>
      </c>
      <c r="AC148" s="4">
        <f>ROUND(Q148*(1-(Exhaust!$B$2+AB148)),2)</f>
        <v>1.55</v>
      </c>
      <c r="AD148" s="5">
        <f>ROUND(R148*(1-(Exhaust!$B$3+$AB148)),2)</f>
        <v>2.84</v>
      </c>
      <c r="AE148" s="3">
        <f>ROUND(S148*(1-(Exhaust!$B$4+$AB148)),2)</f>
        <v>3.17</v>
      </c>
      <c r="AF148" s="4">
        <f>ROUND($AC148*(SUMIFS(PrefFlows!$C:$C,PrefFlows!$A:$A,$Q$1,PrefFlows!$B:$B,$B148)+$AA148)+$AD148*(SUMIFS(PrefFlows!$C:$C,PrefFlows!$A:$A,$R$1,PrefFlows!$B:$B,$B148)+$AA148)+$AE148*(SUMIFS(PrefFlows!$C:$C,PrefFlows!$A:$A,$S$1,PrefFlows!$B:$B,$B148)+$AA148),2)</f>
        <v>3.93</v>
      </c>
      <c r="AG148" s="3">
        <f>ROUND($AC148*(1-(SUMIFS(PrefFlows!$C:$C,PrefFlows!$A:$A,$Q$1,PrefFlows!$B:$B,$B148)+$AA148))+$AD148*(1-(SUMIFS(PrefFlows!$C:$C,PrefFlows!$A:$A,$R$1,PrefFlows!$B:$B,$B148)+$AA148))+$AE148*(1-(SUMIFS(PrefFlows!$C:$C,PrefFlows!$A:$A,$S$1,PrefFlows!$B:$B,$B148)+$AA148)),2)</f>
        <v>3.63</v>
      </c>
      <c r="AH148" s="4">
        <f t="shared" si="71"/>
        <v>39.200000000000003</v>
      </c>
      <c r="AI148" s="3">
        <f t="shared" si="72"/>
        <v>51.39</v>
      </c>
      <c r="AJ148" s="4">
        <f t="shared" si="73"/>
        <v>43.27</v>
      </c>
      <c r="AK148" s="3">
        <f t="shared" si="73"/>
        <v>56.73</v>
      </c>
      <c r="AL148" s="1">
        <f t="shared" si="56"/>
        <v>-5.47</v>
      </c>
      <c r="AM148" s="1">
        <f t="shared" si="57"/>
        <v>-6.36</v>
      </c>
      <c r="AN148" s="3">
        <f t="shared" si="58"/>
        <v>-6.73</v>
      </c>
      <c r="AO148" s="1" t="b">
        <f t="shared" si="74"/>
        <v>0</v>
      </c>
      <c r="AP148" s="1" t="b">
        <f t="shared" si="74"/>
        <v>0</v>
      </c>
      <c r="AQ148" s="3" t="b">
        <f t="shared" si="75"/>
        <v>0</v>
      </c>
      <c r="AR148" s="1">
        <f t="shared" si="76"/>
        <v>-0.89000000000000057</v>
      </c>
      <c r="AS148" s="1">
        <f t="shared" si="76"/>
        <v>-1.2600000000000007</v>
      </c>
      <c r="AT148" s="3">
        <f t="shared" si="77"/>
        <v>0.37000000000000011</v>
      </c>
      <c r="AU148" s="1">
        <f>ROUND(IF($B148="NSW",L148*Meta!$B$6,L148),1)</f>
        <v>8195.5</v>
      </c>
      <c r="AV148" s="3">
        <f t="shared" si="59"/>
        <v>100188.9</v>
      </c>
    </row>
    <row r="149" spans="1:48" x14ac:dyDescent="0.55000000000000004">
      <c r="A149" s="2" t="s">
        <v>210</v>
      </c>
      <c r="B149" s="3" t="s">
        <v>12</v>
      </c>
      <c r="C149" s="4">
        <v>48.8</v>
      </c>
      <c r="D149" s="5">
        <v>0</v>
      </c>
      <c r="E149" s="5">
        <v>25.46</v>
      </c>
      <c r="F149" s="5">
        <v>8.84</v>
      </c>
      <c r="G149" s="5">
        <v>9.2100000000000009</v>
      </c>
      <c r="H149" s="5">
        <v>7.69</v>
      </c>
      <c r="I149" s="4">
        <v>39.090000000000003</v>
      </c>
      <c r="J149" s="3">
        <v>60.91</v>
      </c>
      <c r="K149" s="4">
        <v>110691</v>
      </c>
      <c r="L149" s="5">
        <v>8020</v>
      </c>
      <c r="M149" s="3">
        <f t="shared" si="60"/>
        <v>102671</v>
      </c>
      <c r="N149" s="5">
        <f t="shared" si="61"/>
        <v>7.2453948378820326E-2</v>
      </c>
      <c r="O149" s="4">
        <f>ROUND($C149+MIN($D149:$E149)*(1-SUMIFS(PrefFlows!$C:$C,PrefFlows!$A:$A,INDEX($D$1:$E$1,MATCH(MIN($D149:$E149),$D149:$E149,0)),PrefFlows!$B:$B,$B149)),2)</f>
        <v>48.8</v>
      </c>
      <c r="P149" s="5">
        <f>ROUND(MAX($D149:$E149)+MIN($D149:$E149)*SUMIFS(PrefFlows!$C:$C,PrefFlows!$A:$A,INDEX($D$1:$E$1,MATCH(MIN($D149:$E149),$D149:$E149,0)),PrefFlows!$B:$B,$B149),2)</f>
        <v>25.46</v>
      </c>
      <c r="Q149" s="5">
        <f t="shared" si="62"/>
        <v>8.84</v>
      </c>
      <c r="R149" s="5">
        <f t="shared" si="63"/>
        <v>9.2100000000000009</v>
      </c>
      <c r="S149" s="3">
        <f t="shared" si="64"/>
        <v>7.69</v>
      </c>
      <c r="T149" s="6">
        <f t="shared" si="65"/>
        <v>-23.34</v>
      </c>
      <c r="U149" s="4">
        <f>ROUND($Q149*SUMIFS(PrefFlows!$C:$C,PrefFlows!$A:$A,$Q$1,PrefFlows!$B:$B,$B149)+$R149*SUMIFS(PrefFlows!$C:$C,PrefFlows!$A:$A,$R$1,PrefFlows!$B:$B,$B149)+$S149*SUMIFS(PrefFlows!$C:$C,PrefFlows!$A:$A,$S$1,PrefFlows!$B:$B,$B149),2)</f>
        <v>11.34</v>
      </c>
      <c r="V149" s="3">
        <f>ROUND($Q149*(1-SUMIFS(PrefFlows!$C:$C,PrefFlows!$A:$A,$Q$1,PrefFlows!$B:$B,$B149))+$R149*(1-SUMIFS(PrefFlows!$C:$C,PrefFlows!$A:$A,$R$1,PrefFlows!$B:$B,$B149))+$S149*(1-SUMIFS(PrefFlows!$C:$C,PrefFlows!$A:$A,$S$1,PrefFlows!$B:$B,$B149)),2)</f>
        <v>14.4</v>
      </c>
      <c r="W149" s="4">
        <f t="shared" si="66"/>
        <v>13.63</v>
      </c>
      <c r="X149" s="3">
        <f t="shared" si="67"/>
        <v>12.11</v>
      </c>
      <c r="Y149" s="4">
        <f t="shared" si="68"/>
        <v>0.44059999999999999</v>
      </c>
      <c r="Z149" s="5">
        <f t="shared" si="69"/>
        <v>0.52949999999999997</v>
      </c>
      <c r="AA149" s="5">
        <f t="shared" si="70"/>
        <v>8.8900000000000007E-2</v>
      </c>
      <c r="AB149" s="3">
        <v>4.6229646865605302E-2</v>
      </c>
      <c r="AC149" s="4">
        <f>ROUND(Q149*(1-(Exhaust!$B$2+AB149)),2)</f>
        <v>3.48</v>
      </c>
      <c r="AD149" s="5">
        <f>ROUND(R149*(1-(Exhaust!$B$3+$AB149)),2)</f>
        <v>5.0999999999999996</v>
      </c>
      <c r="AE149" s="3">
        <f>ROUND(S149*(1-(Exhaust!$B$4+$AB149)),2)</f>
        <v>3.49</v>
      </c>
      <c r="AF149" s="4">
        <f>ROUND($AC149*(SUMIFS(PrefFlows!$C:$C,PrefFlows!$A:$A,$Q$1,PrefFlows!$B:$B,$B149)+$AA149)+$AD149*(SUMIFS(PrefFlows!$C:$C,PrefFlows!$A:$A,$R$1,PrefFlows!$B:$B,$B149)+$AA149)+$AE149*(SUMIFS(PrefFlows!$C:$C,PrefFlows!$A:$A,$S$1,PrefFlows!$B:$B,$B149)+$AA149),2)</f>
        <v>6.04</v>
      </c>
      <c r="AG149" s="3">
        <f>ROUND($AC149*(1-(SUMIFS(PrefFlows!$C:$C,PrefFlows!$A:$A,$Q$1,PrefFlows!$B:$B,$B149)+$AA149))+$AD149*(1-(SUMIFS(PrefFlows!$C:$C,PrefFlows!$A:$A,$R$1,PrefFlows!$B:$B,$B149)+$AA149))+$AE149*(1-(SUMIFS(PrefFlows!$C:$C,PrefFlows!$A:$A,$S$1,PrefFlows!$B:$B,$B149)+$AA149)),2)</f>
        <v>6.03</v>
      </c>
      <c r="AH149" s="4">
        <f t="shared" si="71"/>
        <v>31.5</v>
      </c>
      <c r="AI149" s="3">
        <f t="shared" si="72"/>
        <v>54.83</v>
      </c>
      <c r="AJ149" s="4">
        <f t="shared" si="73"/>
        <v>36.49</v>
      </c>
      <c r="AK149" s="3">
        <f t="shared" si="73"/>
        <v>63.51</v>
      </c>
      <c r="AL149" s="1">
        <f t="shared" si="56"/>
        <v>-10.91</v>
      </c>
      <c r="AM149" s="1">
        <f t="shared" si="57"/>
        <v>-12.86</v>
      </c>
      <c r="AN149" s="3">
        <f t="shared" si="58"/>
        <v>-13.51</v>
      </c>
      <c r="AO149" s="1" t="b">
        <f t="shared" si="74"/>
        <v>0</v>
      </c>
      <c r="AP149" s="1" t="b">
        <f t="shared" si="74"/>
        <v>0</v>
      </c>
      <c r="AQ149" s="3" t="b">
        <f t="shared" si="75"/>
        <v>0</v>
      </c>
      <c r="AR149" s="1">
        <f t="shared" si="76"/>
        <v>-1.9499999999999993</v>
      </c>
      <c r="AS149" s="1">
        <f t="shared" si="76"/>
        <v>-2.5999999999999996</v>
      </c>
      <c r="AT149" s="3">
        <f t="shared" si="77"/>
        <v>0.65000000000000036</v>
      </c>
      <c r="AU149" s="1">
        <f>ROUND(IF($B149="NSW",L149*Meta!$B$6,L149),1)</f>
        <v>5333.3</v>
      </c>
      <c r="AV149" s="3">
        <f t="shared" si="59"/>
        <v>106549.5</v>
      </c>
    </row>
    <row r="150" spans="1:48" x14ac:dyDescent="0.55000000000000004">
      <c r="A150" s="2" t="s">
        <v>149</v>
      </c>
      <c r="B150" s="3" t="s">
        <v>21</v>
      </c>
      <c r="C150" s="4">
        <v>21.75</v>
      </c>
      <c r="D150" s="5">
        <v>47.09</v>
      </c>
      <c r="E150" s="5">
        <v>0</v>
      </c>
      <c r="F150" s="5">
        <v>14.44</v>
      </c>
      <c r="G150" s="5">
        <v>9.94</v>
      </c>
      <c r="H150" s="5">
        <v>6.78</v>
      </c>
      <c r="I150" s="4">
        <v>63.15</v>
      </c>
      <c r="J150" s="3">
        <v>36.85</v>
      </c>
      <c r="K150" s="4">
        <v>98539</v>
      </c>
      <c r="L150" s="5">
        <v>4667</v>
      </c>
      <c r="M150" s="3">
        <f t="shared" si="60"/>
        <v>93872</v>
      </c>
      <c r="N150" s="5">
        <f t="shared" si="61"/>
        <v>4.7361958209439919E-2</v>
      </c>
      <c r="O150" s="4">
        <f>ROUND($C150+MIN($D150:$E150)*(1-SUMIFS(PrefFlows!$C:$C,PrefFlows!$A:$A,INDEX($D$1:$E$1,MATCH(MIN($D150:$E150),$D150:$E150,0)),PrefFlows!$B:$B,$B150)),2)</f>
        <v>21.75</v>
      </c>
      <c r="P150" s="5">
        <f>ROUND(MAX($D150:$E150)+MIN($D150:$E150)*SUMIFS(PrefFlows!$C:$C,PrefFlows!$A:$A,INDEX($D$1:$E$1,MATCH(MIN($D150:$E150),$D150:$E150,0)),PrefFlows!$B:$B,$B150),2)</f>
        <v>47.09</v>
      </c>
      <c r="Q150" s="5">
        <f t="shared" si="62"/>
        <v>14.44</v>
      </c>
      <c r="R150" s="5">
        <f t="shared" si="63"/>
        <v>9.94</v>
      </c>
      <c r="S150" s="3">
        <f t="shared" si="64"/>
        <v>6.78</v>
      </c>
      <c r="T150" s="6">
        <f t="shared" si="65"/>
        <v>25.34</v>
      </c>
      <c r="U150" s="4">
        <f>ROUND($Q150*SUMIFS(PrefFlows!$C:$C,PrefFlows!$A:$A,$Q$1,PrefFlows!$B:$B,$B150)+$R150*SUMIFS(PrefFlows!$C:$C,PrefFlows!$A:$A,$R$1,PrefFlows!$B:$B,$B150)+$S150*SUMIFS(PrefFlows!$C:$C,PrefFlows!$A:$A,$S$1,PrefFlows!$B:$B,$B150),2)</f>
        <v>15.22</v>
      </c>
      <c r="V150" s="3">
        <f>ROUND($Q150*(1-SUMIFS(PrefFlows!$C:$C,PrefFlows!$A:$A,$Q$1,PrefFlows!$B:$B,$B150))+$R150*(1-SUMIFS(PrefFlows!$C:$C,PrefFlows!$A:$A,$R$1,PrefFlows!$B:$B,$B150))+$S150*(1-SUMIFS(PrefFlows!$C:$C,PrefFlows!$A:$A,$S$1,PrefFlows!$B:$B,$B150)),2)</f>
        <v>15.94</v>
      </c>
      <c r="W150" s="4">
        <f t="shared" si="66"/>
        <v>16.059999999999999</v>
      </c>
      <c r="X150" s="3">
        <f t="shared" si="67"/>
        <v>15.1</v>
      </c>
      <c r="Y150" s="4">
        <f t="shared" si="68"/>
        <v>0.4884</v>
      </c>
      <c r="Z150" s="5">
        <f t="shared" si="69"/>
        <v>0.51539999999999997</v>
      </c>
      <c r="AA150" s="5">
        <f t="shared" si="70"/>
        <v>2.7E-2</v>
      </c>
      <c r="AB150" s="3">
        <v>3.0964992234116299E-2</v>
      </c>
      <c r="AC150" s="4">
        <f>ROUND(Q150*(1-(Exhaust!$B$2+AB150)),2)</f>
        <v>5.91</v>
      </c>
      <c r="AD150" s="5">
        <f>ROUND(R150*(1-(Exhaust!$B$3+$AB150)),2)</f>
        <v>5.66</v>
      </c>
      <c r="AE150" s="3">
        <f>ROUND(S150*(1-(Exhaust!$B$4+$AB150)),2)</f>
        <v>3.18</v>
      </c>
      <c r="AF150" s="4">
        <f>ROUND($AC150*(SUMIFS(PrefFlows!$C:$C,PrefFlows!$A:$A,$Q$1,PrefFlows!$B:$B,$B150)+$AA150)+$AD150*(SUMIFS(PrefFlows!$C:$C,PrefFlows!$A:$A,$R$1,PrefFlows!$B:$B,$B150)+$AA150)+$AE150*(SUMIFS(PrefFlows!$C:$C,PrefFlows!$A:$A,$S$1,PrefFlows!$B:$B,$B150)+$AA150),2)</f>
        <v>7.16</v>
      </c>
      <c r="AG150" s="3">
        <f>ROUND($AC150*(1-(SUMIFS(PrefFlows!$C:$C,PrefFlows!$A:$A,$Q$1,PrefFlows!$B:$B,$B150)+$AA150))+$AD150*(1-(SUMIFS(PrefFlows!$C:$C,PrefFlows!$A:$A,$R$1,PrefFlows!$B:$B,$B150)+$AA150))+$AE150*(1-(SUMIFS(PrefFlows!$C:$C,PrefFlows!$A:$A,$S$1,PrefFlows!$B:$B,$B150)+$AA150)),2)</f>
        <v>7.59</v>
      </c>
      <c r="AH150" s="4">
        <f t="shared" si="71"/>
        <v>54.25</v>
      </c>
      <c r="AI150" s="3">
        <f t="shared" si="72"/>
        <v>29.34</v>
      </c>
      <c r="AJ150" s="4">
        <f t="shared" si="73"/>
        <v>64.900000000000006</v>
      </c>
      <c r="AK150" s="3">
        <f t="shared" si="73"/>
        <v>35.1</v>
      </c>
      <c r="AL150" s="1">
        <f t="shared" si="56"/>
        <v>13.15</v>
      </c>
      <c r="AM150" s="1">
        <f t="shared" si="57"/>
        <v>15.19</v>
      </c>
      <c r="AN150" s="3">
        <f t="shared" si="58"/>
        <v>14.9</v>
      </c>
      <c r="AO150" s="1" t="b">
        <f t="shared" si="74"/>
        <v>0</v>
      </c>
      <c r="AP150" s="1" t="b">
        <f t="shared" si="74"/>
        <v>0</v>
      </c>
      <c r="AQ150" s="3" t="b">
        <f t="shared" si="75"/>
        <v>0</v>
      </c>
      <c r="AR150" s="1">
        <f t="shared" si="76"/>
        <v>2.0399999999999991</v>
      </c>
      <c r="AS150" s="1">
        <f t="shared" si="76"/>
        <v>1.75</v>
      </c>
      <c r="AT150" s="3">
        <f t="shared" si="77"/>
        <v>0.28999999999999915</v>
      </c>
      <c r="AU150" s="1">
        <f>ROUND(IF($B150="NSW",L150*Meta!$B$6,L150),1)</f>
        <v>4667</v>
      </c>
      <c r="AV150" s="3">
        <f t="shared" si="59"/>
        <v>94914.9</v>
      </c>
    </row>
    <row r="151" spans="1:48" x14ac:dyDescent="0.55000000000000004">
      <c r="A151" s="2" t="s">
        <v>150</v>
      </c>
      <c r="B151" s="3" t="s">
        <v>9</v>
      </c>
      <c r="C151" s="4">
        <v>44.08</v>
      </c>
      <c r="D151" s="5">
        <v>17.940000000000001</v>
      </c>
      <c r="E151" s="5">
        <v>0</v>
      </c>
      <c r="F151" s="5">
        <v>3.1</v>
      </c>
      <c r="G151" s="5">
        <v>26.62</v>
      </c>
      <c r="H151" s="5">
        <v>8.26</v>
      </c>
      <c r="I151" s="4">
        <v>24.15</v>
      </c>
      <c r="J151" s="3">
        <v>75.849999999999994</v>
      </c>
      <c r="K151" s="4">
        <v>100333</v>
      </c>
      <c r="L151" s="5">
        <v>4243</v>
      </c>
      <c r="M151" s="3">
        <f t="shared" si="60"/>
        <v>96090</v>
      </c>
      <c r="N151" s="5">
        <f t="shared" si="61"/>
        <v>4.2289177040455282E-2</v>
      </c>
      <c r="O151" s="4">
        <f>ROUND($C151+MIN($D151:$E151)*(1-SUMIFS(PrefFlows!$C:$C,PrefFlows!$A:$A,INDEX($D$1:$E$1,MATCH(MIN($D151:$E151),$D151:$E151,0)),PrefFlows!$B:$B,$B151)),2)</f>
        <v>44.08</v>
      </c>
      <c r="P151" s="5">
        <f>ROUND(MAX($D151:$E151)+MIN($D151:$E151)*SUMIFS(PrefFlows!$C:$C,PrefFlows!$A:$A,INDEX($D$1:$E$1,MATCH(MIN($D151:$E151),$D151:$E151,0)),PrefFlows!$B:$B,$B151),2)</f>
        <v>17.940000000000001</v>
      </c>
      <c r="Q151" s="5">
        <f t="shared" si="62"/>
        <v>3.1</v>
      </c>
      <c r="R151" s="5">
        <f t="shared" si="63"/>
        <v>26.62</v>
      </c>
      <c r="S151" s="3">
        <f t="shared" si="64"/>
        <v>8.26</v>
      </c>
      <c r="T151" s="6">
        <f t="shared" si="65"/>
        <v>-26.14</v>
      </c>
      <c r="U151" s="4">
        <f>ROUND($Q151*SUMIFS(PrefFlows!$C:$C,PrefFlows!$A:$A,$Q$1,PrefFlows!$B:$B,$B151)+$R151*SUMIFS(PrefFlows!$C:$C,PrefFlows!$A:$A,$R$1,PrefFlows!$B:$B,$B151)+$S151*SUMIFS(PrefFlows!$C:$C,PrefFlows!$A:$A,$S$1,PrefFlows!$B:$B,$B151),2)</f>
        <v>10.64</v>
      </c>
      <c r="V151" s="3">
        <f>ROUND($Q151*(1-SUMIFS(PrefFlows!$C:$C,PrefFlows!$A:$A,$Q$1,PrefFlows!$B:$B,$B151))+$R151*(1-SUMIFS(PrefFlows!$C:$C,PrefFlows!$A:$A,$R$1,PrefFlows!$B:$B,$B151))+$S151*(1-SUMIFS(PrefFlows!$C:$C,PrefFlows!$A:$A,$S$1,PrefFlows!$B:$B,$B151)),2)</f>
        <v>27.34</v>
      </c>
      <c r="W151" s="4">
        <f t="shared" si="66"/>
        <v>6.21</v>
      </c>
      <c r="X151" s="3">
        <f t="shared" si="67"/>
        <v>31.77</v>
      </c>
      <c r="Y151" s="4">
        <f t="shared" si="68"/>
        <v>0.28010000000000002</v>
      </c>
      <c r="Z151" s="5">
        <f t="shared" si="69"/>
        <v>0.16350000000000001</v>
      </c>
      <c r="AA151" s="5">
        <f t="shared" si="70"/>
        <v>-0.1166</v>
      </c>
      <c r="AB151" s="3">
        <v>-1.6107104446152501E-2</v>
      </c>
      <c r="AC151" s="4">
        <f>ROUND(Q151*(1-(Exhaust!$B$2+AB151)),2)</f>
        <v>1.41</v>
      </c>
      <c r="AD151" s="5">
        <f>ROUND(R151*(1-(Exhaust!$B$3+$AB151)),2)</f>
        <v>16.399999999999999</v>
      </c>
      <c r="AE151" s="3">
        <f>ROUND(S151*(1-(Exhaust!$B$4+$AB151)),2)</f>
        <v>4.26</v>
      </c>
      <c r="AF151" s="4">
        <f>ROUND($AC151*(SUMIFS(PrefFlows!$C:$C,PrefFlows!$A:$A,$Q$1,PrefFlows!$B:$B,$B151)+$AA151)+$AD151*(SUMIFS(PrefFlows!$C:$C,PrefFlows!$A:$A,$R$1,PrefFlows!$B:$B,$B151)+$AA151)+$AE151*(SUMIFS(PrefFlows!$C:$C,PrefFlows!$A:$A,$S$1,PrefFlows!$B:$B,$B151)+$AA151),2)</f>
        <v>3.21</v>
      </c>
      <c r="AG151" s="3">
        <f>ROUND($AC151*(1-(SUMIFS(PrefFlows!$C:$C,PrefFlows!$A:$A,$Q$1,PrefFlows!$B:$B,$B151)+$AA151))+$AD151*(1-(SUMIFS(PrefFlows!$C:$C,PrefFlows!$A:$A,$R$1,PrefFlows!$B:$B,$B151)+$AA151))+$AE151*(1-(SUMIFS(PrefFlows!$C:$C,PrefFlows!$A:$A,$S$1,PrefFlows!$B:$B,$B151)+$AA151)),2)</f>
        <v>18.86</v>
      </c>
      <c r="AH151" s="4">
        <f t="shared" si="71"/>
        <v>21.15</v>
      </c>
      <c r="AI151" s="3">
        <f t="shared" si="72"/>
        <v>62.94</v>
      </c>
      <c r="AJ151" s="4">
        <f t="shared" si="73"/>
        <v>25.15</v>
      </c>
      <c r="AK151" s="3">
        <f t="shared" si="73"/>
        <v>74.849999999999994</v>
      </c>
      <c r="AL151" s="1">
        <f t="shared" si="56"/>
        <v>-25.85</v>
      </c>
      <c r="AM151" s="1">
        <f t="shared" si="57"/>
        <v>-24.11</v>
      </c>
      <c r="AN151" s="3">
        <f t="shared" si="58"/>
        <v>-24.85</v>
      </c>
      <c r="AO151" s="1" t="b">
        <f t="shared" si="74"/>
        <v>0</v>
      </c>
      <c r="AP151" s="1" t="b">
        <f t="shared" si="74"/>
        <v>0</v>
      </c>
      <c r="AQ151" s="3" t="b">
        <f t="shared" si="75"/>
        <v>0</v>
      </c>
      <c r="AR151" s="1">
        <f t="shared" si="76"/>
        <v>1.740000000000002</v>
      </c>
      <c r="AS151" s="1">
        <f t="shared" si="76"/>
        <v>1</v>
      </c>
      <c r="AT151" s="3">
        <f t="shared" si="77"/>
        <v>0.74000000000000199</v>
      </c>
      <c r="AU151" s="1">
        <f>ROUND(IF($B151="NSW",L151*Meta!$B$6,L151),1)</f>
        <v>4243</v>
      </c>
      <c r="AV151" s="3">
        <f t="shared" si="59"/>
        <v>97038.2</v>
      </c>
    </row>
    <row r="152" spans="1:48" x14ac:dyDescent="0.55000000000000004">
      <c r="A152" s="2" t="s">
        <v>192</v>
      </c>
      <c r="B152" s="3" t="s">
        <v>21</v>
      </c>
      <c r="C152" s="4">
        <v>18.739999999999998</v>
      </c>
      <c r="D152" s="5">
        <v>44.92</v>
      </c>
      <c r="E152" s="5">
        <v>0</v>
      </c>
      <c r="F152" s="5">
        <v>21.61</v>
      </c>
      <c r="G152" s="5">
        <v>7.17</v>
      </c>
      <c r="H152" s="5">
        <v>7.56</v>
      </c>
      <c r="I152" s="4">
        <v>64.58</v>
      </c>
      <c r="J152" s="3">
        <v>35.42</v>
      </c>
      <c r="K152" s="4">
        <v>103162</v>
      </c>
      <c r="L152" s="5">
        <v>6269</v>
      </c>
      <c r="M152" s="3">
        <f t="shared" si="60"/>
        <v>96893</v>
      </c>
      <c r="N152" s="5">
        <f t="shared" si="61"/>
        <v>6.0768500029080477E-2</v>
      </c>
      <c r="O152" s="4">
        <f>ROUND($C152+MIN($D152:$E152)*(1-SUMIFS(PrefFlows!$C:$C,PrefFlows!$A:$A,INDEX($D$1:$E$1,MATCH(MIN($D152:$E152),$D152:$E152,0)),PrefFlows!$B:$B,$B152)),2)</f>
        <v>18.739999999999998</v>
      </c>
      <c r="P152" s="5">
        <f>ROUND(MAX($D152:$E152)+MIN($D152:$E152)*SUMIFS(PrefFlows!$C:$C,PrefFlows!$A:$A,INDEX($D$1:$E$1,MATCH(MIN($D152:$E152),$D152:$E152,0)),PrefFlows!$B:$B,$B152),2)</f>
        <v>44.92</v>
      </c>
      <c r="Q152" s="5">
        <f t="shared" ref="Q152" si="78">ROUND(F152,2)</f>
        <v>21.61</v>
      </c>
      <c r="R152" s="5">
        <f t="shared" ref="R152" si="79">ROUND(G152,2)</f>
        <v>7.17</v>
      </c>
      <c r="S152" s="3">
        <f t="shared" ref="S152" si="80">ROUND(H152,2)</f>
        <v>7.56</v>
      </c>
      <c r="T152" s="6">
        <f t="shared" ref="T152" si="81">ROUND(P152-O152,2)</f>
        <v>26.18</v>
      </c>
      <c r="U152" s="4">
        <f>ROUND($Q152*SUMIFS(PrefFlows!$C:$C,PrefFlows!$A:$A,$Q$1,PrefFlows!$B:$B,$B152)+$R152*SUMIFS(PrefFlows!$C:$C,PrefFlows!$A:$A,$R$1,PrefFlows!$B:$B,$B152)+$S152*SUMIFS(PrefFlows!$C:$C,PrefFlows!$A:$A,$S$1,PrefFlows!$B:$B,$B152),2)</f>
        <v>19.89</v>
      </c>
      <c r="V152" s="3">
        <f>ROUND($Q152*(1-SUMIFS(PrefFlows!$C:$C,PrefFlows!$A:$A,$Q$1,PrefFlows!$B:$B,$B152))+$R152*(1-SUMIFS(PrefFlows!$C:$C,PrefFlows!$A:$A,$R$1,PrefFlows!$B:$B,$B152))+$S152*(1-SUMIFS(PrefFlows!$C:$C,PrefFlows!$A:$A,$S$1,PrefFlows!$B:$B,$B152)),2)</f>
        <v>16.45</v>
      </c>
      <c r="W152" s="4">
        <f t="shared" ref="W152" si="82">ROUND(I152-P152,2)</f>
        <v>19.66</v>
      </c>
      <c r="X152" s="3">
        <f t="shared" ref="X152" si="83">ROUND(J152-O152,2)</f>
        <v>16.68</v>
      </c>
      <c r="Y152" s="4">
        <f t="shared" ref="Y152" si="84">ROUND(U152/SUM(U152:V152),4)</f>
        <v>0.54730000000000001</v>
      </c>
      <c r="Z152" s="5">
        <f t="shared" ref="Z152" si="85">ROUND(W152/SUM(W152:X152),4)</f>
        <v>0.54100000000000004</v>
      </c>
      <c r="AA152" s="5">
        <f t="shared" ref="AA152" si="86">ROUND(Z152-Y152,4)</f>
        <v>-6.3E-3</v>
      </c>
      <c r="AB152" s="3">
        <v>4.7999205253174297E-2</v>
      </c>
      <c r="AC152" s="4">
        <f>ROUND(Q152*(1-(Exhaust!$B$2+AB152)),2)</f>
        <v>8.4700000000000006</v>
      </c>
      <c r="AD152" s="5">
        <f>ROUND(R152*(1-(Exhaust!$B$3+$AB152)),2)</f>
        <v>3.96</v>
      </c>
      <c r="AE152" s="3">
        <f>ROUND(S152*(1-(Exhaust!$B$4+$AB152)),2)</f>
        <v>3.42</v>
      </c>
      <c r="AF152" s="4">
        <f>ROUND($AC152*(SUMIFS(PrefFlows!$C:$C,PrefFlows!$A:$A,$Q$1,PrefFlows!$B:$B,$B152)+$AA152)+$AD152*(SUMIFS(PrefFlows!$C:$C,PrefFlows!$A:$A,$R$1,PrefFlows!$B:$B,$B152)+$AA152)+$AE152*(SUMIFS(PrefFlows!$C:$C,PrefFlows!$A:$A,$S$1,PrefFlows!$B:$B,$B152)+$AA152),2)</f>
        <v>8.16</v>
      </c>
      <c r="AG152" s="3">
        <f>ROUND($AC152*(1-(SUMIFS(PrefFlows!$C:$C,PrefFlows!$A:$A,$Q$1,PrefFlows!$B:$B,$B152)+$AA152))+$AD152*(1-(SUMIFS(PrefFlows!$C:$C,PrefFlows!$A:$A,$R$1,PrefFlows!$B:$B,$B152)+$AA152))+$AE152*(1-(SUMIFS(PrefFlows!$C:$C,PrefFlows!$A:$A,$S$1,PrefFlows!$B:$B,$B152)+$AA152)),2)</f>
        <v>7.69</v>
      </c>
      <c r="AH152" s="4">
        <f t="shared" ref="AH152" si="87">ROUND(P152+AF152,2)</f>
        <v>53.08</v>
      </c>
      <c r="AI152" s="3">
        <f t="shared" ref="AI152" si="88">ROUND(O152+AG152,2)</f>
        <v>26.43</v>
      </c>
      <c r="AJ152" s="4">
        <f t="shared" ref="AJ152" si="89">ROUND(AH152/SUM($AH152:$AI152)*100,2)</f>
        <v>66.760000000000005</v>
      </c>
      <c r="AK152" s="3">
        <f t="shared" ref="AK152" si="90">ROUND(AI152/SUM($AH152:$AI152)*100,2)</f>
        <v>33.24</v>
      </c>
      <c r="AL152" s="1">
        <f t="shared" ref="AL152" si="91">ROUND(I152-50,2)</f>
        <v>14.58</v>
      </c>
      <c r="AM152" s="1">
        <f t="shared" ref="AM152" si="92">ROUND((P152+W152*0.52)/((P152+W152*0.52)+(O152+X152*0.52))*100-50,2)</f>
        <v>16.79</v>
      </c>
      <c r="AN152" s="3">
        <f t="shared" ref="AN152" si="93">ROUND(AJ152-50,2)</f>
        <v>16.760000000000002</v>
      </c>
      <c r="AO152" s="1" t="b">
        <f t="shared" ref="AO152" si="94">$AL152/AM152&lt;0</f>
        <v>0</v>
      </c>
      <c r="AP152" s="1" t="b">
        <f t="shared" ref="AP152" si="95">$AL152/AN152&lt;0</f>
        <v>0</v>
      </c>
      <c r="AQ152" s="3" t="b">
        <f t="shared" ref="AQ152" si="96">AM152/AN152&lt;0</f>
        <v>0</v>
      </c>
      <c r="AR152" s="1">
        <f t="shared" ref="AR152" si="97">(AM152-$AL152)</f>
        <v>2.2099999999999991</v>
      </c>
      <c r="AS152" s="1">
        <f t="shared" ref="AS152" si="98">(AN152-$AL152)</f>
        <v>2.1800000000000015</v>
      </c>
      <c r="AT152" s="3">
        <f t="shared" ref="AT152" si="99">ABS(AN152-$AM152)</f>
        <v>2.9999999999997584E-2</v>
      </c>
      <c r="AU152" s="1">
        <f>ROUND(IF($B152="NSW",L152*Meta!$B$6,L152),1)</f>
        <v>6269</v>
      </c>
      <c r="AV152" s="3">
        <f t="shared" ref="AV152" si="100">ROUND((K152-AU152*($AU$154/$AU$153))*SUM($AJ152:$AK152)/100,1)</f>
        <v>98293.9</v>
      </c>
    </row>
    <row r="153" spans="1:48" x14ac:dyDescent="0.55000000000000004">
      <c r="I153" s="4">
        <f>ROUND(SUMPRODUCT(I2:I152,$M2:$M152)/SUM($M2:$M152),2)</f>
        <v>51.53</v>
      </c>
      <c r="J153" s="3">
        <f>ROUND(SUMPRODUCT(J2:J152,$M2:$M152)/SUM($M2:$M152),2)</f>
        <v>48.47</v>
      </c>
      <c r="L153" s="1">
        <f>SUM(L2:L152)/SUM($M$2:$M$152)</f>
        <v>5.8598187813947177E-2</v>
      </c>
      <c r="AJ153" s="5">
        <f>ROUND(SUMPRODUCT(AJ2:AJ152,$AV2:$AV152)/SUM($AV2:$AV152),2)</f>
        <v>52.74</v>
      </c>
      <c r="AK153" s="3">
        <f>ROUND(SUMPRODUCT(AK2:AK152,$AV2:$AV152)/SUM($AV2:$AV152),2)</f>
        <v>47.26</v>
      </c>
      <c r="AU153" s="1">
        <f>SUM(AU2:AU152)/SUM($M$2:$M$152)</f>
        <v>5.0558902010209079E-2</v>
      </c>
    </row>
    <row r="154" spans="1:48" x14ac:dyDescent="0.55000000000000004">
      <c r="AU154" s="1">
        <f>(1-SUM(Meta!$B$2:$B$4))*L153</f>
        <v>3.9260785835344605E-2</v>
      </c>
    </row>
  </sheetData>
  <conditionalFormatting sqref="AO1:AQ151 AO153:AQ1048576">
    <cfRule type="cellIs" dxfId="2" priority="7" operator="equal">
      <formula>TRUE</formula>
    </cfRule>
  </conditionalFormatting>
  <conditionalFormatting sqref="AT1">
    <cfRule type="cellIs" dxfId="1" priority="2" operator="equal">
      <formula>TRUE</formula>
    </cfRule>
  </conditionalFormatting>
  <conditionalFormatting sqref="AO152:AQ152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3C8B-6D41-4FBE-ACF0-110E03B95BFC}">
  <dimension ref="A1:C41"/>
  <sheetViews>
    <sheetView workbookViewId="0"/>
  </sheetViews>
  <sheetFormatPr defaultColWidth="8.8203125" defaultRowHeight="16.149999999999999" x14ac:dyDescent="0.55000000000000004"/>
  <cols>
    <col min="1" max="16384" width="8.8203125" style="1"/>
  </cols>
  <sheetData>
    <row r="1" spans="1:3" x14ac:dyDescent="0.55000000000000004">
      <c r="A1" s="1" t="s">
        <v>161</v>
      </c>
      <c r="B1" s="1" t="s">
        <v>1</v>
      </c>
      <c r="C1" s="1" t="s">
        <v>162</v>
      </c>
    </row>
    <row r="2" spans="1:3" x14ac:dyDescent="0.55000000000000004">
      <c r="A2" s="1" t="s">
        <v>152</v>
      </c>
      <c r="B2" s="1" t="s">
        <v>12</v>
      </c>
      <c r="C2" s="1" t="s">
        <v>163</v>
      </c>
    </row>
    <row r="3" spans="1:3" x14ac:dyDescent="0.55000000000000004">
      <c r="A3" s="1" t="s">
        <v>153</v>
      </c>
      <c r="B3" s="1" t="s">
        <v>12</v>
      </c>
      <c r="C3" s="1">
        <v>0.84850000000000003</v>
      </c>
    </row>
    <row r="4" spans="1:3" x14ac:dyDescent="0.55000000000000004">
      <c r="A4" s="1" t="s">
        <v>3</v>
      </c>
      <c r="B4" s="1" t="s">
        <v>12</v>
      </c>
      <c r="C4" s="1">
        <v>0.17829999999999999</v>
      </c>
    </row>
    <row r="5" spans="1:3" x14ac:dyDescent="0.55000000000000004">
      <c r="A5" s="1" t="s">
        <v>197</v>
      </c>
      <c r="B5" s="1" t="s">
        <v>12</v>
      </c>
      <c r="C5" s="1">
        <v>0.64329999999999998</v>
      </c>
    </row>
    <row r="6" spans="1:3" x14ac:dyDescent="0.55000000000000004">
      <c r="A6" s="1" t="s">
        <v>4</v>
      </c>
      <c r="B6" s="1" t="s">
        <v>12</v>
      </c>
      <c r="C6" s="1">
        <v>0.52200000000000002</v>
      </c>
    </row>
    <row r="7" spans="1:3" x14ac:dyDescent="0.55000000000000004">
      <c r="A7" s="1" t="s">
        <v>152</v>
      </c>
      <c r="B7" s="1" t="s">
        <v>9</v>
      </c>
      <c r="C7" s="1">
        <v>0.89490000000000003</v>
      </c>
    </row>
    <row r="8" spans="1:3" x14ac:dyDescent="0.55000000000000004">
      <c r="A8" s="1" t="s">
        <v>153</v>
      </c>
      <c r="B8" s="1" t="s">
        <v>9</v>
      </c>
      <c r="C8" s="1">
        <v>0.8871</v>
      </c>
    </row>
    <row r="9" spans="1:3" x14ac:dyDescent="0.55000000000000004">
      <c r="A9" s="1" t="s">
        <v>3</v>
      </c>
      <c r="B9" s="1" t="s">
        <v>9</v>
      </c>
      <c r="C9" s="1">
        <v>0.15720000000000001</v>
      </c>
    </row>
    <row r="10" spans="1:3" x14ac:dyDescent="0.55000000000000004">
      <c r="A10" s="1" t="s">
        <v>197</v>
      </c>
      <c r="B10" s="1" t="s">
        <v>9</v>
      </c>
      <c r="C10" s="1">
        <v>0.63959999999999995</v>
      </c>
    </row>
    <row r="11" spans="1:3" x14ac:dyDescent="0.55000000000000004">
      <c r="A11" s="1" t="s">
        <v>4</v>
      </c>
      <c r="B11" s="1" t="s">
        <v>9</v>
      </c>
      <c r="C11" s="1">
        <v>0.54110000000000003</v>
      </c>
    </row>
    <row r="12" spans="1:3" x14ac:dyDescent="0.55000000000000004">
      <c r="A12" s="1" t="s">
        <v>152</v>
      </c>
      <c r="B12" s="1" t="s">
        <v>21</v>
      </c>
      <c r="C12" s="1" t="s">
        <v>163</v>
      </c>
    </row>
    <row r="13" spans="1:3" x14ac:dyDescent="0.55000000000000004">
      <c r="A13" s="1" t="s">
        <v>153</v>
      </c>
      <c r="B13" s="1" t="s">
        <v>21</v>
      </c>
      <c r="C13" s="1" t="s">
        <v>163</v>
      </c>
    </row>
    <row r="14" spans="1:3" x14ac:dyDescent="0.55000000000000004">
      <c r="A14" s="1" t="s">
        <v>3</v>
      </c>
      <c r="B14" s="1" t="s">
        <v>21</v>
      </c>
      <c r="C14" s="1">
        <v>0.20469999999999999</v>
      </c>
    </row>
    <row r="15" spans="1:3" x14ac:dyDescent="0.55000000000000004">
      <c r="A15" s="1" t="s">
        <v>197</v>
      </c>
      <c r="B15" s="1" t="s">
        <v>21</v>
      </c>
      <c r="C15" s="1">
        <v>0.67579999999999996</v>
      </c>
    </row>
    <row r="16" spans="1:3" x14ac:dyDescent="0.55000000000000004">
      <c r="A16" s="1" t="s">
        <v>4</v>
      </c>
      <c r="B16" s="1" t="s">
        <v>21</v>
      </c>
      <c r="C16" s="1">
        <v>0.50480000000000003</v>
      </c>
    </row>
    <row r="17" spans="1:3" x14ac:dyDescent="0.55000000000000004">
      <c r="A17" s="1" t="s">
        <v>152</v>
      </c>
      <c r="B17" s="1" t="s">
        <v>29</v>
      </c>
      <c r="C17" s="1" t="s">
        <v>163</v>
      </c>
    </row>
    <row r="18" spans="1:3" x14ac:dyDescent="0.55000000000000004">
      <c r="A18" s="1" t="s">
        <v>153</v>
      </c>
      <c r="B18" s="1" t="s">
        <v>29</v>
      </c>
      <c r="C18" s="1">
        <v>0.82740000000000002</v>
      </c>
    </row>
    <row r="19" spans="1:3" x14ac:dyDescent="0.55000000000000004">
      <c r="A19" s="1" t="s">
        <v>3</v>
      </c>
      <c r="B19" s="1" t="s">
        <v>29</v>
      </c>
      <c r="C19" s="1">
        <v>0.2026</v>
      </c>
    </row>
    <row r="20" spans="1:3" x14ac:dyDescent="0.55000000000000004">
      <c r="A20" s="1" t="s">
        <v>197</v>
      </c>
      <c r="B20" s="1" t="s">
        <v>29</v>
      </c>
      <c r="C20" s="1">
        <v>0.63700000000000001</v>
      </c>
    </row>
    <row r="21" spans="1:3" x14ac:dyDescent="0.55000000000000004">
      <c r="A21" s="1" t="s">
        <v>4</v>
      </c>
      <c r="B21" s="1" t="s">
        <v>29</v>
      </c>
      <c r="C21" s="1">
        <v>0.52180000000000004</v>
      </c>
    </row>
    <row r="22" spans="1:3" x14ac:dyDescent="0.55000000000000004">
      <c r="A22" s="1" t="s">
        <v>152</v>
      </c>
      <c r="B22" s="1" t="s">
        <v>7</v>
      </c>
      <c r="C22" s="1" t="s">
        <v>163</v>
      </c>
    </row>
    <row r="23" spans="1:3" x14ac:dyDescent="0.55000000000000004">
      <c r="A23" s="1" t="s">
        <v>153</v>
      </c>
      <c r="B23" s="1" t="s">
        <v>7</v>
      </c>
      <c r="C23" s="1">
        <v>0.70709999999999995</v>
      </c>
    </row>
    <row r="24" spans="1:3" x14ac:dyDescent="0.55000000000000004">
      <c r="A24" s="1" t="s">
        <v>3</v>
      </c>
      <c r="B24" s="1" t="s">
        <v>7</v>
      </c>
      <c r="C24" s="1">
        <v>0.20119999999999999</v>
      </c>
    </row>
    <row r="25" spans="1:3" x14ac:dyDescent="0.55000000000000004">
      <c r="A25" s="1" t="s">
        <v>197</v>
      </c>
      <c r="B25" s="1" t="s">
        <v>7</v>
      </c>
      <c r="C25" s="1">
        <v>0.63360000000000005</v>
      </c>
    </row>
    <row r="26" spans="1:3" x14ac:dyDescent="0.55000000000000004">
      <c r="A26" s="1" t="s">
        <v>4</v>
      </c>
      <c r="B26" s="1" t="s">
        <v>7</v>
      </c>
      <c r="C26" s="1">
        <v>0.52549999999999997</v>
      </c>
    </row>
    <row r="27" spans="1:3" x14ac:dyDescent="0.55000000000000004">
      <c r="A27" s="1" t="s">
        <v>152</v>
      </c>
      <c r="B27" s="1" t="s">
        <v>16</v>
      </c>
      <c r="C27" s="1" t="s">
        <v>163</v>
      </c>
    </row>
    <row r="28" spans="1:3" x14ac:dyDescent="0.55000000000000004">
      <c r="A28" s="1" t="s">
        <v>153</v>
      </c>
      <c r="B28" s="1" t="s">
        <v>16</v>
      </c>
      <c r="C28" s="1">
        <v>0.72709999999999997</v>
      </c>
    </row>
    <row r="29" spans="1:3" x14ac:dyDescent="0.55000000000000004">
      <c r="A29" s="1" t="s">
        <v>3</v>
      </c>
      <c r="B29" s="1" t="s">
        <v>16</v>
      </c>
      <c r="C29" s="1">
        <v>0.11840000000000001</v>
      </c>
    </row>
    <row r="30" spans="1:3" x14ac:dyDescent="0.55000000000000004">
      <c r="A30" s="1" t="s">
        <v>197</v>
      </c>
      <c r="B30" s="1" t="s">
        <v>16</v>
      </c>
      <c r="C30" s="1">
        <v>0.55859999999999999</v>
      </c>
    </row>
    <row r="31" spans="1:3" x14ac:dyDescent="0.55000000000000004">
      <c r="A31" s="1" t="s">
        <v>4</v>
      </c>
      <c r="B31" s="1" t="s">
        <v>16</v>
      </c>
      <c r="C31" s="1">
        <v>0.53790000000000004</v>
      </c>
    </row>
    <row r="32" spans="1:3" x14ac:dyDescent="0.55000000000000004">
      <c r="A32" s="1" t="s">
        <v>152</v>
      </c>
      <c r="B32" s="1" t="s">
        <v>35</v>
      </c>
      <c r="C32" s="1" t="s">
        <v>163</v>
      </c>
    </row>
    <row r="33" spans="1:3" x14ac:dyDescent="0.55000000000000004">
      <c r="A33" s="1" t="s">
        <v>153</v>
      </c>
      <c r="B33" s="1" t="s">
        <v>35</v>
      </c>
      <c r="C33" s="1" t="s">
        <v>163</v>
      </c>
    </row>
    <row r="34" spans="1:3" x14ac:dyDescent="0.55000000000000004">
      <c r="A34" s="1" t="s">
        <v>3</v>
      </c>
      <c r="B34" s="1" t="s">
        <v>35</v>
      </c>
      <c r="C34" s="1">
        <v>0.1019</v>
      </c>
    </row>
    <row r="35" spans="1:3" x14ac:dyDescent="0.55000000000000004">
      <c r="A35" s="1" t="s">
        <v>197</v>
      </c>
      <c r="B35" s="1" t="s">
        <v>35</v>
      </c>
      <c r="C35" s="1">
        <v>0.64590000000000003</v>
      </c>
    </row>
    <row r="36" spans="1:3" x14ac:dyDescent="0.55000000000000004">
      <c r="A36" s="1" t="s">
        <v>4</v>
      </c>
      <c r="B36" s="1" t="s">
        <v>35</v>
      </c>
      <c r="C36" s="1">
        <v>0.61029999999999995</v>
      </c>
    </row>
    <row r="37" spans="1:3" x14ac:dyDescent="0.55000000000000004">
      <c r="A37" s="1" t="s">
        <v>152</v>
      </c>
      <c r="B37" s="1" t="s">
        <v>98</v>
      </c>
      <c r="C37" s="1" t="s">
        <v>163</v>
      </c>
    </row>
    <row r="38" spans="1:3" x14ac:dyDescent="0.55000000000000004">
      <c r="A38" s="1" t="s">
        <v>153</v>
      </c>
      <c r="B38" s="1" t="s">
        <v>98</v>
      </c>
      <c r="C38" s="1" t="s">
        <v>163</v>
      </c>
    </row>
    <row r="39" spans="1:3" x14ac:dyDescent="0.55000000000000004">
      <c r="A39" s="1" t="s">
        <v>3</v>
      </c>
      <c r="B39" s="1" t="s">
        <v>98</v>
      </c>
      <c r="C39" s="1">
        <v>0.1983</v>
      </c>
    </row>
    <row r="40" spans="1:3" x14ac:dyDescent="0.55000000000000004">
      <c r="A40" s="1" t="s">
        <v>197</v>
      </c>
      <c r="B40" s="1" t="s">
        <v>98</v>
      </c>
      <c r="C40" s="1">
        <v>0.69389999999999996</v>
      </c>
    </row>
    <row r="41" spans="1:3" x14ac:dyDescent="0.55000000000000004">
      <c r="A41" s="1" t="s">
        <v>4</v>
      </c>
      <c r="B41" s="1" t="s">
        <v>98</v>
      </c>
      <c r="C41" s="1">
        <v>0.53190000000000004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D6CE-E7A8-459B-8C4A-FDF88ED5CAF7}">
  <dimension ref="A1:B4"/>
  <sheetViews>
    <sheetView workbookViewId="0">
      <selection activeCell="B2" sqref="B2"/>
    </sheetView>
  </sheetViews>
  <sheetFormatPr defaultColWidth="8.8203125" defaultRowHeight="16.149999999999999" x14ac:dyDescent="0.55000000000000004"/>
  <cols>
    <col min="1" max="16384" width="8.8203125" style="1"/>
  </cols>
  <sheetData>
    <row r="1" spans="1:2" x14ac:dyDescent="0.55000000000000004">
      <c r="A1" s="1" t="s">
        <v>161</v>
      </c>
      <c r="B1" s="1" t="s">
        <v>173</v>
      </c>
    </row>
    <row r="2" spans="1:2" x14ac:dyDescent="0.55000000000000004">
      <c r="A2" s="1" t="s">
        <v>197</v>
      </c>
      <c r="B2" s="1">
        <v>0.56000000000000005</v>
      </c>
    </row>
    <row r="3" spans="1:2" x14ac:dyDescent="0.55000000000000004">
      <c r="A3" s="1" t="s">
        <v>3</v>
      </c>
      <c r="B3" s="1">
        <v>0.4</v>
      </c>
    </row>
    <row r="4" spans="1:2" x14ac:dyDescent="0.55000000000000004">
      <c r="A4" s="1" t="s">
        <v>4</v>
      </c>
      <c r="B4" s="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DivData</vt:lpstr>
      <vt:lpstr>PrefFlows</vt:lpstr>
      <vt:lpstr>Exhaust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2021-04-27T00:43:08Z</dcterms:created>
  <dcterms:modified xsi:type="dcterms:W3CDTF">2021-05-01T05:43:49Z</dcterms:modified>
</cp:coreProperties>
</file>